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Rekapitulace" sheetId="6" r:id="rId1"/>
    <sheet name="NOVÝ STAV" sheetId="7" r:id="rId2"/>
  </sheets>
  <externalReferences>
    <externalReference r:id="rId3"/>
    <externalReference r:id="rId4"/>
    <externalReference r:id="rId5"/>
    <externalReference r:id="rId6"/>
  </externalReferences>
  <definedNames>
    <definedName name="_____obl11">#REF!</definedName>
    <definedName name="_____obl12">#REF!</definedName>
    <definedName name="_____obl13">#REF!</definedName>
    <definedName name="_____obl14">#REF!</definedName>
    <definedName name="_____obl15">#REF!</definedName>
    <definedName name="_____obl16">#REF!</definedName>
    <definedName name="_____obl17">#REF!</definedName>
    <definedName name="_____obl1710">#REF!</definedName>
    <definedName name="_____obl1711">#REF!</definedName>
    <definedName name="_____obl1712">#REF!</definedName>
    <definedName name="_____obl1713">#REF!</definedName>
    <definedName name="_____obl1714">#REF!</definedName>
    <definedName name="_____obl1715">#REF!</definedName>
    <definedName name="_____obl1716">#REF!</definedName>
    <definedName name="_____obl1717">#REF!</definedName>
    <definedName name="_____obl1718">#REF!</definedName>
    <definedName name="_____obl1719">#REF!</definedName>
    <definedName name="_____obl173">#REF!</definedName>
    <definedName name="_____obl174">#REF!</definedName>
    <definedName name="_____obl175">#REF!</definedName>
    <definedName name="_____obl176">#REF!</definedName>
    <definedName name="_____obl177">#REF!</definedName>
    <definedName name="_____obl178">#REF!</definedName>
    <definedName name="_____obl179">#REF!</definedName>
    <definedName name="_____obl18">#REF!</definedName>
    <definedName name="_____obl181">#REF!</definedName>
    <definedName name="_____obl1816">#REF!</definedName>
    <definedName name="_____obl1820">#REF!</definedName>
    <definedName name="_____obl1821">#REF!</definedName>
    <definedName name="_____obl1822">#REF!</definedName>
    <definedName name="_____obl1823">#REF!</definedName>
    <definedName name="_____obl1824">#REF!</definedName>
    <definedName name="_____obl1825">#REF!</definedName>
    <definedName name="_____obl1826">#REF!</definedName>
    <definedName name="_____obl1827">#REF!</definedName>
    <definedName name="_____obl1828">#REF!</definedName>
    <definedName name="_____obl1829">#REF!</definedName>
    <definedName name="_____obl183">#REF!</definedName>
    <definedName name="_____obl1831">#REF!</definedName>
    <definedName name="_____obl1832">#REF!</definedName>
    <definedName name="_____obl184">#REF!</definedName>
    <definedName name="_____obl185">#REF!</definedName>
    <definedName name="_____obl186">#REF!</definedName>
    <definedName name="_____obl187">#REF!</definedName>
    <definedName name="____obl11" localSheetId="0">#REF!</definedName>
    <definedName name="____obl12" localSheetId="0">#REF!</definedName>
    <definedName name="____obl13" localSheetId="0">#REF!</definedName>
    <definedName name="____obl14" localSheetId="0">#REF!</definedName>
    <definedName name="____obl15" localSheetId="0">#REF!</definedName>
    <definedName name="____obl16" localSheetId="0">#REF!</definedName>
    <definedName name="____obl17" localSheetId="0">#REF!</definedName>
    <definedName name="____obl1710" localSheetId="0">#REF!</definedName>
    <definedName name="____obl1711" localSheetId="0">#REF!</definedName>
    <definedName name="____obl1712" localSheetId="0">#REF!</definedName>
    <definedName name="____obl1713" localSheetId="0">#REF!</definedName>
    <definedName name="____obl1714" localSheetId="0">#REF!</definedName>
    <definedName name="____obl1715" localSheetId="0">#REF!</definedName>
    <definedName name="____obl1716" localSheetId="0">#REF!</definedName>
    <definedName name="____obl1717" localSheetId="0">#REF!</definedName>
    <definedName name="____obl1718" localSheetId="0">#REF!</definedName>
    <definedName name="____obl1719" localSheetId="0">#REF!</definedName>
    <definedName name="____obl173" localSheetId="0">#REF!</definedName>
    <definedName name="____obl174" localSheetId="0">#REF!</definedName>
    <definedName name="____obl175" localSheetId="0">#REF!</definedName>
    <definedName name="____obl176" localSheetId="0">#REF!</definedName>
    <definedName name="____obl177" localSheetId="0">#REF!</definedName>
    <definedName name="____obl178" localSheetId="0">#REF!</definedName>
    <definedName name="____obl179" localSheetId="0">#REF!</definedName>
    <definedName name="____obl18" localSheetId="0">#REF!</definedName>
    <definedName name="____obl181" localSheetId="0">#REF!</definedName>
    <definedName name="____obl1816" localSheetId="0">#REF!</definedName>
    <definedName name="____obl1820" localSheetId="0">#REF!</definedName>
    <definedName name="____obl1821" localSheetId="0">#REF!</definedName>
    <definedName name="____obl1822" localSheetId="0">#REF!</definedName>
    <definedName name="____obl1823" localSheetId="0">#REF!</definedName>
    <definedName name="____obl1824" localSheetId="0">#REF!</definedName>
    <definedName name="____obl1825" localSheetId="0">#REF!</definedName>
    <definedName name="____obl1826" localSheetId="0">#REF!</definedName>
    <definedName name="____obl1827" localSheetId="0">#REF!</definedName>
    <definedName name="____obl1828" localSheetId="0">#REF!</definedName>
    <definedName name="____obl1829" localSheetId="0">#REF!</definedName>
    <definedName name="____obl183" localSheetId="0">#REF!</definedName>
    <definedName name="____obl1831" localSheetId="0">#REF!</definedName>
    <definedName name="____obl1832" localSheetId="0">#REF!</definedName>
    <definedName name="____obl184" localSheetId="0">#REF!</definedName>
    <definedName name="____obl185" localSheetId="0">#REF!</definedName>
    <definedName name="____obl186" localSheetId="0">#REF!</definedName>
    <definedName name="____obl187" localSheetId="0">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1">#REF!</definedName>
    <definedName name="__obl12" localSheetId="1">#REF!</definedName>
    <definedName name="__obl13" localSheetId="1">#REF!</definedName>
    <definedName name="__obl14" localSheetId="1">#REF!</definedName>
    <definedName name="__obl15" localSheetId="1">#REF!</definedName>
    <definedName name="__obl16" localSheetId="1">#REF!</definedName>
    <definedName name="__obl17" localSheetId="1">#REF!</definedName>
    <definedName name="__obl1710" localSheetId="1">#REF!</definedName>
    <definedName name="__obl1711" localSheetId="1">#REF!</definedName>
    <definedName name="__obl1712" localSheetId="1">#REF!</definedName>
    <definedName name="__obl1713" localSheetId="1">#REF!</definedName>
    <definedName name="__obl1714" localSheetId="1">#REF!</definedName>
    <definedName name="__obl1715" localSheetId="1">#REF!</definedName>
    <definedName name="__obl1716" localSheetId="1">#REF!</definedName>
    <definedName name="__obl1717" localSheetId="1">#REF!</definedName>
    <definedName name="__obl1718" localSheetId="1">#REF!</definedName>
    <definedName name="__obl1719" localSheetId="1">#REF!</definedName>
    <definedName name="__obl173" localSheetId="1">#REF!</definedName>
    <definedName name="__obl174" localSheetId="1">#REF!</definedName>
    <definedName name="__obl175" localSheetId="1">#REF!</definedName>
    <definedName name="__obl176" localSheetId="1">#REF!</definedName>
    <definedName name="__obl177" localSheetId="1">#REF!</definedName>
    <definedName name="__obl178" localSheetId="1">#REF!</definedName>
    <definedName name="__obl179" localSheetId="1">#REF!</definedName>
    <definedName name="__obl18" localSheetId="1">#REF!</definedName>
    <definedName name="__obl181" localSheetId="1">#REF!</definedName>
    <definedName name="__obl1816" localSheetId="1">#REF!</definedName>
    <definedName name="__obl1820" localSheetId="1">#REF!</definedName>
    <definedName name="__obl1821" localSheetId="1">#REF!</definedName>
    <definedName name="__obl1822" localSheetId="1">#REF!</definedName>
    <definedName name="__obl1823" localSheetId="1">#REF!</definedName>
    <definedName name="__obl1824" localSheetId="1">#REF!</definedName>
    <definedName name="__obl1825" localSheetId="1">#REF!</definedName>
    <definedName name="__obl1826" localSheetId="1">#REF!</definedName>
    <definedName name="__obl1827" localSheetId="1">#REF!</definedName>
    <definedName name="__obl1828" localSheetId="1">#REF!</definedName>
    <definedName name="__obl1829" localSheetId="1">#REF!</definedName>
    <definedName name="__obl183" localSheetId="1">#REF!</definedName>
    <definedName name="__obl1831" localSheetId="1">#REF!</definedName>
    <definedName name="__obl1832" localSheetId="1">#REF!</definedName>
    <definedName name="__obl184" localSheetId="1">#REF!</definedName>
    <definedName name="__obl185" localSheetId="1">#REF!</definedName>
    <definedName name="__obl186" localSheetId="1">#REF!</definedName>
    <definedName name="__obl187" localSheetId="1">#REF!</definedName>
    <definedName name="_obl11" localSheetId="1">#REF!</definedName>
    <definedName name="_obl11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>#REF!</definedName>
    <definedName name="HSV">#REF!</definedName>
    <definedName name="HSV0" localSheetId="1">#REF!</definedName>
    <definedName name="HSV0" localSheetId="0">#REF!</definedName>
    <definedName name="HSV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>#REF!</definedName>
    <definedName name="jzzuggt">#REF!</definedName>
    <definedName name="Last_Row" localSheetId="1">IF('NOVÝ STAV'!Values_Entered,'NOVÝ STAV'!Header_Row+'NOVÝ STAV'!Number_of_Payments,'NOVÝ STAV'!Header_Row)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MATCH(0.01,'NOVÝ STAV'!End_Bal,-1)+1</definedName>
    <definedName name="Number_of_Payments" localSheetId="0">MATCH(0.01,Rekapitulace!End_Bal,-1)+1</definedName>
    <definedName name="Number_of_Payments">MATCH(0.01,End_Bal,-1)+1</definedName>
    <definedName name="obch_sleva">#REF!</definedName>
    <definedName name="Objednatel">#REF!</definedName>
    <definedName name="_xlnm.Print_Area" localSheetId="1">'NOVÝ STAV'!$A$1:$I$413</definedName>
    <definedName name="_xlnm.Print_Area" localSheetId="0">Rekapitulace!$A$1:$C$20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DATE(YEAR('NOVÝ STAV'!Loan_Start),MONTH('NOVÝ STAV'!Loan_Start)+Payment_Number,DAY('NOVÝ STAV'!Loan_Start))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OFFSET('NOVÝ STAV'!Full_Print,0,0,'NOVÝ STAV'!Last_Row)</definedName>
    <definedName name="Print_Area_Reset" localSheetId="0">OFFSET(Rekapitulace!Full_Print,0,0,Rekapitulace!Last_Row)</definedName>
    <definedName name="Print_Area_Reset">OFFSET(Full_Print,0,0,Last_Row)</definedName>
    <definedName name="Projektant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IF('NOVÝ STAV'!Loan_Amount*'NOVÝ STAV'!Interest_Rate*'NOVÝ STAV'!Loan_Years*'NOVÝ STAV'!Loan_Start&gt;0,1,0)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7" l="1"/>
  <c r="H167" i="7"/>
  <c r="H168" i="7"/>
  <c r="H169" i="7"/>
  <c r="H172" i="7"/>
  <c r="H173" i="7"/>
  <c r="H177" i="7"/>
  <c r="H171" i="7" l="1"/>
  <c r="F72" i="7"/>
  <c r="F70" i="7"/>
  <c r="H70" i="7" s="1"/>
  <c r="F44" i="7" l="1"/>
  <c r="F43" i="7"/>
  <c r="F16" i="7" l="1"/>
  <c r="H16" i="7"/>
  <c r="F317" i="7" l="1"/>
  <c r="F249" i="7"/>
  <c r="F248" i="7"/>
  <c r="F247" i="7"/>
  <c r="F246" i="7"/>
  <c r="F245" i="7"/>
  <c r="F244" i="7"/>
  <c r="F240" i="7"/>
  <c r="F239" i="7"/>
  <c r="F238" i="7"/>
  <c r="F237" i="7"/>
  <c r="F231" i="7"/>
  <c r="F227" i="7"/>
  <c r="F226" i="7"/>
  <c r="F225" i="7"/>
  <c r="F221" i="7"/>
  <c r="F217" i="7"/>
  <c r="F216" i="7"/>
  <c r="F215" i="7"/>
  <c r="F214" i="7"/>
  <c r="F212" i="7"/>
  <c r="F213" i="7"/>
  <c r="F209" i="7"/>
  <c r="F208" i="7"/>
  <c r="F207" i="7"/>
  <c r="F206" i="7"/>
  <c r="F205" i="7"/>
  <c r="F204" i="7"/>
  <c r="F189" i="7"/>
  <c r="F188" i="7"/>
  <c r="F187" i="7"/>
  <c r="F183" i="7"/>
  <c r="F182" i="7"/>
  <c r="F181" i="7"/>
  <c r="F180" i="7"/>
  <c r="F179" i="7"/>
  <c r="F131" i="7"/>
  <c r="F130" i="7"/>
  <c r="F105" i="7"/>
  <c r="F57" i="7"/>
  <c r="F56" i="7"/>
  <c r="F54" i="7"/>
  <c r="F53" i="7"/>
  <c r="F399" i="7" l="1"/>
  <c r="F398" i="7"/>
  <c r="H398" i="7" s="1"/>
  <c r="F396" i="7"/>
  <c r="F395" i="7"/>
  <c r="H395" i="7" s="1"/>
  <c r="F387" i="7" l="1"/>
  <c r="F326" i="7" l="1"/>
  <c r="F165" i="7"/>
  <c r="F128" i="7" l="1"/>
  <c r="H128" i="7" s="1"/>
  <c r="F380" i="7" l="1"/>
  <c r="F372" i="7"/>
  <c r="F385" i="7"/>
  <c r="F379" i="7" l="1"/>
  <c r="F378" i="7"/>
  <c r="F377" i="7"/>
  <c r="F371" i="7"/>
  <c r="F370" i="7"/>
  <c r="F369" i="7"/>
  <c r="F366" i="7" l="1"/>
  <c r="H366" i="7" s="1"/>
  <c r="F374" i="7"/>
  <c r="H374" i="7" s="1"/>
  <c r="F196" i="7"/>
  <c r="F195" i="7"/>
  <c r="F194" i="7"/>
  <c r="F193" i="7"/>
  <c r="F199" i="7"/>
  <c r="F197" i="7" s="1"/>
  <c r="H197" i="7" s="1"/>
  <c r="F191" i="7" l="1"/>
  <c r="H191" i="7" s="1"/>
  <c r="F202" i="7" l="1"/>
  <c r="H202" i="7" s="1"/>
  <c r="F142" i="7" l="1"/>
  <c r="H142" i="7" s="1"/>
  <c r="F344" i="7" l="1"/>
  <c r="F338" i="7"/>
  <c r="F363" i="7" l="1"/>
  <c r="F234" i="7" l="1"/>
  <c r="F49" i="7" l="1"/>
  <c r="F48" i="7" l="1"/>
  <c r="H48" i="7" s="1"/>
  <c r="F325" i="7" l="1"/>
  <c r="H325" i="7" s="1"/>
  <c r="F320" i="7"/>
  <c r="F319" i="7" s="1"/>
  <c r="H319" i="7" s="1"/>
  <c r="F324" i="7" l="1"/>
  <c r="F321" i="7"/>
  <c r="F402" i="7"/>
  <c r="H402" i="7" s="1"/>
  <c r="H401" i="7"/>
  <c r="F392" i="7"/>
  <c r="H392" i="7" s="1"/>
  <c r="F388" i="7"/>
  <c r="H388" i="7" s="1"/>
  <c r="F386" i="7"/>
  <c r="H386" i="7" s="1"/>
  <c r="F384" i="7"/>
  <c r="F383" i="7"/>
  <c r="F382" i="7"/>
  <c r="F365" i="7"/>
  <c r="F361" i="7" s="1"/>
  <c r="H361" i="7" s="1"/>
  <c r="F357" i="7"/>
  <c r="H357" i="7" s="1"/>
  <c r="F353" i="7"/>
  <c r="H353" i="7" s="1"/>
  <c r="F352" i="7"/>
  <c r="F351" i="7"/>
  <c r="F345" i="7"/>
  <c r="H345" i="7" s="1"/>
  <c r="F343" i="7"/>
  <c r="F342" i="7"/>
  <c r="F337" i="7"/>
  <c r="F336" i="7"/>
  <c r="F328" i="7"/>
  <c r="H328" i="7" s="1"/>
  <c r="H327" i="7"/>
  <c r="F323" i="7"/>
  <c r="F322" i="7" s="1"/>
  <c r="H322" i="7" s="1"/>
  <c r="F315" i="7"/>
  <c r="H315" i="7" s="1"/>
  <c r="H307" i="7"/>
  <c r="F313" i="7"/>
  <c r="F312" i="7"/>
  <c r="F311" i="7"/>
  <c r="F310" i="7"/>
  <c r="F309" i="7"/>
  <c r="F308" i="7"/>
  <c r="F300" i="7"/>
  <c r="H300" i="7" s="1"/>
  <c r="H299" i="7"/>
  <c r="F298" i="7"/>
  <c r="F297" i="7"/>
  <c r="F294" i="7"/>
  <c r="F293" i="7"/>
  <c r="F292" i="7"/>
  <c r="F291" i="7"/>
  <c r="F290" i="7"/>
  <c r="F289" i="7"/>
  <c r="F283" i="7"/>
  <c r="F282" i="7"/>
  <c r="F281" i="7"/>
  <c r="F280" i="7"/>
  <c r="F279" i="7"/>
  <c r="F278" i="7"/>
  <c r="H275" i="7"/>
  <c r="H274" i="7"/>
  <c r="H273" i="7"/>
  <c r="F266" i="7"/>
  <c r="H266" i="7" s="1"/>
  <c r="H265" i="7"/>
  <c r="F264" i="7"/>
  <c r="F262" i="7" s="1"/>
  <c r="H262" i="7" s="1"/>
  <c r="F261" i="7"/>
  <c r="F260" i="7"/>
  <c r="F259" i="7"/>
  <c r="F258" i="7"/>
  <c r="F255" i="7"/>
  <c r="F254" i="7" s="1"/>
  <c r="H254" i="7" s="1"/>
  <c r="F253" i="7"/>
  <c r="F252" i="7"/>
  <c r="F233" i="7"/>
  <c r="H233" i="7" s="1"/>
  <c r="F229" i="7"/>
  <c r="F219" i="7"/>
  <c r="H219" i="7" s="1"/>
  <c r="F201" i="7"/>
  <c r="F200" i="7" s="1"/>
  <c r="H200" i="7" s="1"/>
  <c r="F173" i="7"/>
  <c r="F168" i="7"/>
  <c r="F166" i="7"/>
  <c r="F164" i="7"/>
  <c r="F167" i="7" s="1"/>
  <c r="F162" i="7"/>
  <c r="F161" i="7"/>
  <c r="F160" i="7"/>
  <c r="F159" i="7"/>
  <c r="F158" i="7"/>
  <c r="F157" i="7"/>
  <c r="F153" i="7"/>
  <c r="F152" i="7"/>
  <c r="F151" i="7"/>
  <c r="F150" i="7"/>
  <c r="F149" i="7"/>
  <c r="F148" i="7"/>
  <c r="F138" i="7"/>
  <c r="F133" i="7"/>
  <c r="H133" i="7" s="1"/>
  <c r="F126" i="7"/>
  <c r="F125" i="7"/>
  <c r="F124" i="7"/>
  <c r="F123" i="7"/>
  <c r="F122" i="7"/>
  <c r="F121" i="7"/>
  <c r="F117" i="7"/>
  <c r="F115" i="7" s="1"/>
  <c r="H115" i="7" s="1"/>
  <c r="F114" i="7"/>
  <c r="F112" i="7" s="1"/>
  <c r="H112" i="7" s="1"/>
  <c r="F111" i="7"/>
  <c r="F109" i="7" s="1"/>
  <c r="H109" i="7" s="1"/>
  <c r="F108" i="7"/>
  <c r="F106" i="7" s="1"/>
  <c r="H106" i="7" s="1"/>
  <c r="F104" i="7"/>
  <c r="H104" i="7" s="1"/>
  <c r="F103" i="7"/>
  <c r="F102" i="7"/>
  <c r="F101" i="7"/>
  <c r="F100" i="7"/>
  <c r="F99" i="7"/>
  <c r="F98" i="7"/>
  <c r="F97" i="7"/>
  <c r="F96" i="7"/>
  <c r="F94" i="7"/>
  <c r="F93" i="7"/>
  <c r="F92" i="7"/>
  <c r="F91" i="7"/>
  <c r="F90" i="7"/>
  <c r="F89" i="7"/>
  <c r="F86" i="7"/>
  <c r="F85" i="7"/>
  <c r="F84" i="7"/>
  <c r="F83" i="7"/>
  <c r="F82" i="7"/>
  <c r="F81" i="7"/>
  <c r="F78" i="7"/>
  <c r="F76" i="7" s="1"/>
  <c r="H76" i="7" s="1"/>
  <c r="F75" i="7"/>
  <c r="F73" i="7" s="1"/>
  <c r="H73" i="7" s="1"/>
  <c r="F68" i="7"/>
  <c r="F67" i="7"/>
  <c r="F66" i="7"/>
  <c r="F65" i="7"/>
  <c r="F64" i="7"/>
  <c r="F63" i="7"/>
  <c r="F52" i="7"/>
  <c r="H52" i="7" s="1"/>
  <c r="F40" i="7"/>
  <c r="H40" i="7" s="1"/>
  <c r="F33" i="7"/>
  <c r="H33" i="7" s="1"/>
  <c r="F26" i="7"/>
  <c r="H26" i="7" s="1"/>
  <c r="F22" i="7"/>
  <c r="H22" i="7" s="1"/>
  <c r="F13" i="7"/>
  <c r="F11" i="7" s="1"/>
  <c r="H11" i="7" s="1"/>
  <c r="F251" i="7" l="1"/>
  <c r="H251" i="7" s="1"/>
  <c r="F177" i="7"/>
  <c r="F210" i="7"/>
  <c r="H210" i="7" s="1"/>
  <c r="F185" i="7"/>
  <c r="H185" i="7" s="1"/>
  <c r="H176" i="7" s="1"/>
  <c r="F296" i="7"/>
  <c r="H296" i="7" s="1"/>
  <c r="F223" i="7"/>
  <c r="H223" i="7" s="1"/>
  <c r="F60" i="7"/>
  <c r="H60" i="7" s="1"/>
  <c r="F334" i="7"/>
  <c r="H334" i="7" s="1"/>
  <c r="C13" i="6"/>
  <c r="F340" i="7"/>
  <c r="H340" i="7" s="1"/>
  <c r="F79" i="7"/>
  <c r="H79" i="7" s="1"/>
  <c r="F95" i="7"/>
  <c r="H95" i="7" s="1"/>
  <c r="F136" i="7"/>
  <c r="H136" i="7" s="1"/>
  <c r="F242" i="7"/>
  <c r="H242" i="7" s="1"/>
  <c r="F287" i="7"/>
  <c r="H287" i="7" s="1"/>
  <c r="F118" i="7"/>
  <c r="H118" i="7" s="1"/>
  <c r="F55" i="7"/>
  <c r="H55" i="7" s="1"/>
  <c r="F146" i="7"/>
  <c r="H146" i="7" s="1"/>
  <c r="F256" i="7"/>
  <c r="H256" i="7" s="1"/>
  <c r="F304" i="7"/>
  <c r="F306" i="7" s="1"/>
  <c r="H306" i="7" s="1"/>
  <c r="G304" i="7" s="1"/>
  <c r="H304" i="7" s="1"/>
  <c r="F350" i="7"/>
  <c r="H350" i="7" s="1"/>
  <c r="F381" i="7"/>
  <c r="F270" i="7"/>
  <c r="F295" i="7" s="1"/>
  <c r="F87" i="7"/>
  <c r="H87" i="7" s="1"/>
  <c r="F155" i="7"/>
  <c r="H155" i="7" s="1"/>
  <c r="F235" i="7"/>
  <c r="H235" i="7" s="1"/>
  <c r="H229" i="7"/>
  <c r="F169" i="7"/>
  <c r="G164" i="7" s="1"/>
  <c r="H164" i="7" s="1"/>
  <c r="H391" i="7"/>
  <c r="C19" i="6" s="1"/>
  <c r="H10" i="7" l="1"/>
  <c r="C10" i="6" s="1"/>
  <c r="H59" i="7"/>
  <c r="C11" i="6" s="1"/>
  <c r="H381" i="7"/>
  <c r="F333" i="7"/>
  <c r="F332" i="7" s="1"/>
  <c r="H332" i="7" s="1"/>
  <c r="F285" i="7"/>
  <c r="F284" i="7" s="1"/>
  <c r="H284" i="7" s="1"/>
  <c r="F373" i="7"/>
  <c r="H373" i="7" s="1"/>
  <c r="H141" i="7"/>
  <c r="G270" i="7"/>
  <c r="H270" i="7" s="1"/>
  <c r="F286" i="7"/>
  <c r="H286" i="7" s="1"/>
  <c r="H295" i="7"/>
  <c r="H324" i="7"/>
  <c r="H321" i="7"/>
  <c r="C15" i="6" l="1"/>
  <c r="H9" i="7"/>
  <c r="H303" i="7"/>
  <c r="C17" i="6" s="1"/>
  <c r="H331" i="7"/>
  <c r="C18" i="6" s="1"/>
  <c r="C12" i="6"/>
  <c r="C9" i="6" s="1"/>
  <c r="H269" i="7"/>
  <c r="C16" i="6" l="1"/>
  <c r="H175" i="7"/>
  <c r="H405" i="7" s="1"/>
  <c r="H407" i="7" s="1"/>
  <c r="C14" i="6"/>
  <c r="C20" i="6" s="1"/>
</calcChain>
</file>

<file path=xl/sharedStrings.xml><?xml version="1.0" encoding="utf-8"?>
<sst xmlns="http://schemas.openxmlformats.org/spreadsheetml/2006/main" count="740" uniqueCount="470">
  <si>
    <t>REKAPITULACE</t>
  </si>
  <si>
    <t>Stavba:   MU - stavební úpravy v objektu PdF, Poříčí 31 - projektant</t>
  </si>
  <si>
    <t xml:space="preserve">JKSO:     801.35; 927; 928 </t>
  </si>
  <si>
    <t>Kód</t>
  </si>
  <si>
    <t>Popis</t>
  </si>
  <si>
    <r>
      <t xml:space="preserve">Cena celkem                   </t>
    </r>
    <r>
      <rPr>
        <sz val="8"/>
        <rFont val="Arial CE"/>
        <family val="2"/>
        <charset val="238"/>
      </rPr>
      <t xml:space="preserve">                                     </t>
    </r>
  </si>
  <si>
    <t>HSV</t>
  </si>
  <si>
    <t>Práce a dodávky HSV</t>
  </si>
  <si>
    <t>Úpravy povrchu, podlahy, osazení</t>
  </si>
  <si>
    <t>Ostatní konstrukce a práce-bourání</t>
  </si>
  <si>
    <t>Přesun hmot</t>
  </si>
  <si>
    <t>PSV</t>
  </si>
  <si>
    <t>Práce a dodávky PSV</t>
  </si>
  <si>
    <t>Ostatní práce a dodávky</t>
  </si>
  <si>
    <t>P.Č.</t>
  </si>
  <si>
    <t>KCN</t>
  </si>
  <si>
    <t>Kód položky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</si>
  <si>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</si>
  <si>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</si>
  <si>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</si>
  <si>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</si>
  <si>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</si>
  <si>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</si>
  <si>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</si>
  <si>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</si>
  <si>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</si>
  <si>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</si>
  <si>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</si>
  <si>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</si>
  <si>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011</t>
  </si>
  <si>
    <t>m2</t>
  </si>
  <si>
    <t>CS ÚRS 2020 01</t>
  </si>
  <si>
    <t>9</t>
  </si>
  <si>
    <t>Ostatní konstrukce a práce - bourání</t>
  </si>
  <si>
    <t>003</t>
  </si>
  <si>
    <t>Lešení pomocné pro objekty pozemních staveb s lešeňovou podlahou v do 1,9 m zatížení do 150 kg/m2</t>
  </si>
  <si>
    <t>" V ceně náklady na dopravu, montáž, demontáž a opotřebení lešení "</t>
  </si>
  <si>
    <t>Vyčištění budov bytové a občanské výstavby při výšce podlaží do 4 m</t>
  </si>
  <si>
    <t>013</t>
  </si>
  <si>
    <t xml:space="preserve">CS ÚRS/TEO 2020 01 </t>
  </si>
  <si>
    <t>kus</t>
  </si>
  <si>
    <t>m</t>
  </si>
  <si>
    <t>997</t>
  </si>
  <si>
    <t>997999901 SPC</t>
  </si>
  <si>
    <t>t</t>
  </si>
  <si>
    <t>" - Odvoz suti a vybouraných hmot na skládku nebo meziskládku do 1 km se složením "</t>
  </si>
  <si>
    <t>" - Příplatek k odvozu suti a vybouraných hmot na skládku ZKD 1 km přes 1 km - uvažována skládka ve vzdálenosti do 10 km "</t>
  </si>
  <si>
    <t>" - Poplatek za uložení na skládce (skládkovné) stavebního odpadu směsného kód odpadu 17 09 04 "</t>
  </si>
  <si>
    <t>99</t>
  </si>
  <si>
    <t>sada</t>
  </si>
  <si>
    <t>HZS</t>
  </si>
  <si>
    <t>HZS1291</t>
  </si>
  <si>
    <t>Hodinová zúčtovací sazba pomocný stavební dělník</t>
  </si>
  <si>
    <t>hod</t>
  </si>
  <si>
    <t>" Stavební práce a dodávky spojené s provedením funkčního celku HSV - výpomoce, doplňkové práce a dodávky,kompletace apod. "</t>
  </si>
  <si>
    <t>HZS2492</t>
  </si>
  <si>
    <t>Hodinová zúčtovací sazba pomocný dělník PSV</t>
  </si>
  <si>
    <t>CS ÚRS/TEO 2020 01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</si>
  <si>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</si>
  <si>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</si>
  <si>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</si>
  <si>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</si>
  <si>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</si>
  <si>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</si>
  <si>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</si>
  <si>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Potažení vnitřních stěn vápenným štukem tloušťky do 3 mm</t>
  </si>
  <si>
    <t>Objekt:   02 - Rekonstrukce hygienického zařízení 1. PP - 5. NP</t>
  </si>
  <si>
    <t>Svislé a kompletní konstrukce</t>
  </si>
  <si>
    <t>Konstrukce suché výstavby</t>
  </si>
  <si>
    <t>Podlahy z dlaždic</t>
  </si>
  <si>
    <t>Dokončovací práce - Obklady keramické</t>
  </si>
  <si>
    <t>Dokončovací práce - Malby</t>
  </si>
  <si>
    <t>D.1.1. ASŘ - NOVÝ STAV - CELKEM</t>
  </si>
  <si>
    <t>Část:   D.1.1. ASŘ - NOVÝ STAV</t>
  </si>
  <si>
    <t>317999101 SPC</t>
  </si>
  <si>
    <t xml:space="preserve">D+M Ocelový / ocelobetonový překlad s valcovanými nosníky, 1x I č. 80, dl. 0,9 m - Specifikace dle PD </t>
  </si>
  <si>
    <t>" Překlady včetně spojení nosníků při spodním povrchu pásovou ocelí a jejich vzájemného svaření, oplentování, apod. "</t>
  </si>
  <si>
    <t xml:space="preserve">" Překlad nad nádržkou WC " 6+6+6+3 </t>
  </si>
  <si>
    <t xml:space="preserve">" V ceně přesun hmot. " </t>
  </si>
  <si>
    <t>317999102 SPC</t>
  </si>
  <si>
    <t xml:space="preserve">D+M Ocelový překlad, obetonovaný, 2x L 40x4 mm, dl. 0,9 m - Specifikace dle PD </t>
  </si>
  <si>
    <t>" Překlad nad rozšiřeným otvorem v 5. NP "</t>
  </si>
  <si>
    <t>" Včetně 2x L 40x4mm, maltové lože pro osazení profilů, obetonování profilů, výplň betonem mezi profily, bednění a podpůrné konstrukce. / obezdění a výplň cihlami. V ceně také případný hrubý zához viditelné části překladu pro provedení omítek vč. síťky. "</t>
  </si>
  <si>
    <t>319999901 SPC</t>
  </si>
  <si>
    <t>Případné nutné vyspravení / dozdění otvorů ve zdivu po vysekání nik pro nádržku WC  - Specifikace dle PD</t>
  </si>
  <si>
    <t xml:space="preserve">" Úprava po vybourání otvorů ve zdivu - otvory  1,165×0,6×0,1 m " </t>
  </si>
  <si>
    <t>" 1. NP "</t>
  </si>
  <si>
    <t>" 2. NP "</t>
  </si>
  <si>
    <t>" 3. NP "</t>
  </si>
  <si>
    <t>" 4. NP "</t>
  </si>
  <si>
    <t>" V ceně veškerý materiál a příslušenství nutné pro úpravu stavebních otovrů - vyrovnání povrchu po vysekání otvorů jako příprava pro povrchové úpravy vč. vnitřní úpravy pro osazení nádržky. "</t>
  </si>
  <si>
    <t>319999902 SPC</t>
  </si>
  <si>
    <t>D+M Vyspravení / dozdění / vyrovnání nadpraží a ostění po vybouraných dveřích ve stávajícím zdivu - Specifikace dle PD</t>
  </si>
  <si>
    <t>" Vyspravení / dozdění / vyrovnání nadpraží a ostění po vybouraných dveřích. "</t>
  </si>
  <si>
    <t>" V ceně veškerý materiál a příslušenství nutné pro úpravu - zarovnání do roviny, nutné odsekání, příprava pro osazení dveří a zárubně, apod. - stávajícího zdiva po dveří vč. zárubní a příčky. "</t>
  </si>
  <si>
    <t xml:space="preserve">" V ceně také přesun hmot / suti " </t>
  </si>
  <si>
    <t>319999903 SPC</t>
  </si>
  <si>
    <t>D+M Vyspravení / dozdění zdiva po vybourání napojené konstrukce - Specifikace dle PD</t>
  </si>
  <si>
    <t>" V ceně veškerý materiál a příslušenství nutné pro úpravu - zarovnání do roviny - stávajícího zdiva po vybourání napojeného. "</t>
  </si>
  <si>
    <t xml:space="preserve">" 1. PP " </t>
  </si>
  <si>
    <t xml:space="preserve">" 1. NP " </t>
  </si>
  <si>
    <t xml:space="preserve">" 2. NP " </t>
  </si>
  <si>
    <t xml:space="preserve">" 3. NP " </t>
  </si>
  <si>
    <t xml:space="preserve">" 4. NP " </t>
  </si>
  <si>
    <t>Přizdívka z pórobetonových tvárnic tl 50 mm</t>
  </si>
  <si>
    <t>014</t>
  </si>
  <si>
    <t>Přizdívka ostění s ozubem z cihel tl do 150 mm</t>
  </si>
  <si>
    <t>" V ceně také vysekání kapes pro zavázání přizdívky. "</t>
  </si>
  <si>
    <t>Oprava vnitřní vápenné hladké omítky stropů v rozsahu plochy do 50%</t>
  </si>
  <si>
    <t xml:space="preserve">" Oprava omítek stropů - tl. do 20 mm. " </t>
  </si>
  <si>
    <t>" Oprava omítek stropů - 1. PP - 5. NP "</t>
  </si>
  <si>
    <t>" 1. PP " 3,1+3,04+3,9+1,89</t>
  </si>
  <si>
    <t>" 1. NP " 4,5+3,15+5,06+15,53+6,88+4,45+1,51+4,11</t>
  </si>
  <si>
    <t>" 2. NP " 15,55+4,00+1,61+4,45+6,88+4,17+3,02+4,87</t>
  </si>
  <si>
    <t>" 3. NP " 7,75+1,49+3,36+9,90+4,73+6,85+2,08+3,08+7,0</t>
  </si>
  <si>
    <t>" 4. NP " 1,65+4,22+2,89+4,83+2,28+2,94</t>
  </si>
  <si>
    <t>" 5. NP " 3,32</t>
  </si>
  <si>
    <t>Polymercementový spojovací můstek vnitřních stěn nanášený ručně</t>
  </si>
  <si>
    <t xml:space="preserve">" Spojovací můstek stěn " </t>
  </si>
  <si>
    <t>" Spojovací můstek po omítky vyrovnání podkladu pod obklady " 328,2</t>
  </si>
  <si>
    <t>Penetrační disperzní nátěr vnitřních stěn nanášený ručně</t>
  </si>
  <si>
    <t xml:space="preserve">" Penetrace pod novou štukovou vrstvu - přeštukování. " </t>
  </si>
  <si>
    <t>" Penetrace pod novou štukovou vrstvu stěn - 1. PP - 5. NP " 15,98+68,31+66,83+66,75+28,88+4,88</t>
  </si>
  <si>
    <t>Vyrovnání podkladu vnitřních stěn maltou vápennou tl do 10 mm</t>
  </si>
  <si>
    <t>" Vyrovnání povrchu omítky po vybourání stávajícího obkladu před provedením nového na stávajícím zdivu - uvažovaná celková tl. do 15 mm. "</t>
  </si>
  <si>
    <t>" Vyrovnání povrchu po odstranění keramického obkladu na stávajícím zdivu - 1. PP " 35,5</t>
  </si>
  <si>
    <t>" Vyrovnání povrchu po odstranění keramického obkladu na stávajícím zdivu - 1. NP " 82,8</t>
  </si>
  <si>
    <t>" Vyrovnání povrchu po odstranění keramického obkladu na stávajícím zdivu - 2. NP " 81,0</t>
  </si>
  <si>
    <t>" Vyrovnání povrchu po odstranění keramického obkladu na stávajícím zdivu - 2. NP " 80,9</t>
  </si>
  <si>
    <t>" Vyrovnání povrchu po odstranění keramického obkladu na stávajícím zdivu - 4. NP " 35,0</t>
  </si>
  <si>
    <t>" Vyrovnání povrchu po odstranění keramického obkladu na stávajícím zdivu - 5. NP " 13,0</t>
  </si>
  <si>
    <t>Příplatek k vyrovnání vnitřních stěn maltou vápennou za každých dalších 5 mm tl</t>
  </si>
  <si>
    <t>" Příplatek k vyrovnání povrchu omítky po vybourání stávajícího obkladu před provedením nového na stávajícím zdivu - tl. od 10 do 15 mm. "</t>
  </si>
  <si>
    <t>" Příplatek k vyrovnání povrchu po odstranění keramického obkladu na stávajícím zdivu - 1. PP " 35,5</t>
  </si>
  <si>
    <t>" Příplatek k vyrovnání povrchu po odstranění keramického obkladu na stávajícím zdivu - 1. NP " 82,8</t>
  </si>
  <si>
    <t>" Příplatek k vyrovnání povrchu po odstranění keramického obkladu na stávajícím zdivu - 2. NP " 81,0</t>
  </si>
  <si>
    <t>" Příplatek k vyrovnání povrchu po odstranění keramického obkladu na stávajícím zdivu - 3. NP " 80,9</t>
  </si>
  <si>
    <t>" Příplatek k vyrovnání povrchu po odstranění keramického obkladu na stávajícím zdivu - 4. NP " 35,0</t>
  </si>
  <si>
    <t>" Příplatek k vyrovnání povrchu po odstranění keramického obkladu na stávajícím zdivu - 5. NP " 13,0</t>
  </si>
  <si>
    <t>Hrubá výplň rýh ve stěnách maltou jakékoli šířky rýhy</t>
  </si>
  <si>
    <t>" Hrubá výplň rýhy ve stěnách po osazení potrubí pro kanalizaci - š. 70 mm, dl. 14 900 mm " 0,07*14,9</t>
  </si>
  <si>
    <t>" Hrubá výplň rýhy ve stěnách po osazení potrubí pro kanalizaci - š. 150 mm, dl. 13 800 mm " 0,15*13,8</t>
  </si>
  <si>
    <t>" Hrubá výplň rýhy ve stěnách po osazení potrubí pro vodovodu - TV + SV - š. 200 mm, dl. 10 800 mm " 0,20*10,8</t>
  </si>
  <si>
    <t>" Hrubá výplň rýhy ve stěnách po osazení potrubí pro vodovodu - SV - š. 70 mm, dl. 800 mm " 0,07*0,8</t>
  </si>
  <si>
    <t>" Hrubá výplň rýhy ve stěnách po osazení potrubí pro vytápění - š. 150 mm, dl. 23 900 mm " 0,15*23,9</t>
  </si>
  <si>
    <t>" Hrubá výplň rýhy ve stěnách po osazení potrubí stoupacího vodovodu - š. 400 mm, dl. 20 250 mm " (0,4*20,25)*4</t>
  </si>
  <si>
    <t>" Hrubá výplň rýhy ve stěnách po osazení potrubí vodovodu - svislé části připojovacího potrubí - TV a SV - š. 200 mm, dl. 28 750 mm " 0,2*28,75</t>
  </si>
  <si>
    <t>" Hrubá výplň rýhy ve stěnách po osazení potrubí vodovodu - svislé části připojovacího potrubí - SV - š. 70 mm, dl. 68 750 mm " 0,07*68,75</t>
  </si>
  <si>
    <t>Potažení vnitřních stěn sklovláknitým pletivem vtlačeným do tenkovrstvé hmoty</t>
  </si>
  <si>
    <t xml:space="preserve">" Přeštukování omítek stěn v celé ploše nad obklady na stávajícím zdivu. " </t>
  </si>
  <si>
    <t>" Přeštukování omítek stěn 1. PP - 5. NP " 15,98+68,31+66,83+66,75+28,88+4,88</t>
  </si>
  <si>
    <t>Vápenná hladká omítka malých ploch do 0,25 m2 na stěnách</t>
  </si>
  <si>
    <t xml:space="preserve">" Vápenná omítka stěn vč. spojovací vrstvy (postřiku, spojovacího můstku). " </t>
  </si>
  <si>
    <t>" Vápenná omítka  po přizdění otvoru ke dveřím - 0,10×2,02 m - 5. NP - m. 5017 " (1)*2</t>
  </si>
  <si>
    <t>Vápenná hladká omítka malých ploch do 1,0 m2 na stěnách</t>
  </si>
  <si>
    <t>" Vápenná omítka  po přizdění otvoru ke dveřím - 0,15×2,02 m - 5. NP - m. 5020 " (1)*2</t>
  </si>
  <si>
    <t>Vápenná hladká omítka malých ploch do 4,0 m2 na stěnách</t>
  </si>
  <si>
    <t>" Vápenná omítka  po vyrovnání ozubu - 0,45×3,65 m - 1. NP + 2. NP " (2)*1</t>
  </si>
  <si>
    <t>Oprava vnitřní vápenné hladké omítky stěn v rozsahu plochy do 50%</t>
  </si>
  <si>
    <t>" Vápenná iomítka hladá stěn tl. do 20 mm. "</t>
  </si>
  <si>
    <t>" Oprava omítek stěn - 1. PP - 5. NP. Ve výšce nad novým obkladem - od v 2,0 m.  "</t>
  </si>
  <si>
    <t>" 1. PP " 15,98</t>
  </si>
  <si>
    <t>" 1. NP " 68,31</t>
  </si>
  <si>
    <t>" 2. NP " 66,83</t>
  </si>
  <si>
    <t>" 3. NP " 66,75</t>
  </si>
  <si>
    <t>" 4. NP " 28,88</t>
  </si>
  <si>
    <t>" 5. NP " 4,88</t>
  </si>
  <si>
    <t>631999101 SPC</t>
  </si>
  <si>
    <t>D+M Doplnění podlahy po provedení napojení stoupacího kanalizačního potrubí na svodné - Specifikace dle PD</t>
  </si>
  <si>
    <t xml:space="preserve">" Doplnění veškerých vrstev podlahy po provedení napojení kanalizace -skladba dle stávající skladby. V ceně i přesun hmot. " </t>
  </si>
  <si>
    <t>" V ceně veškeré nutné příslušenství a materiál s uvedením do původního stavu - základová deska vč. výztuže a bednění, HI, TI, podkladní vrstvy, případný podsyp, celková skladba podlahy dle původní vč. veškerých nutných prvků vč. obvodových lišt, apod. "</t>
  </si>
  <si>
    <t>631999102 SPC</t>
  </si>
  <si>
    <t>D+M Doplnění podlahy po vybourání stávajícího zdiva v 1. PP - Specifikace dle PD</t>
  </si>
  <si>
    <t xml:space="preserve">" Doplnění veškerých vrstev podlahy po provedení vybourání zdiva -skladba dle stávající skladby. V ceně i přesun hmot. " </t>
  </si>
  <si>
    <t>" 1. PP " 0,2*1,1</t>
  </si>
  <si>
    <t>" V ceně veškeré nutné příslušenství a materiál s uvedením do původního stavu - HI, TI, podkladní vrstvy, případný podsyp, celková skladba podlahy dle původní vč. veškerých nutných prvků. "</t>
  </si>
  <si>
    <t>" Pomocné lešení pro objekty při provádění nového stavu - 1 PP - 5. NP "</t>
  </si>
  <si>
    <t>" Pomocné lešení  - 1. PP - místnosti -1012, -1015, -1016 " 6,01+3,88+1,96</t>
  </si>
  <si>
    <t>" Pomocné lešení - 1. NP - místnosti 1005 - 1008c " 3,85+2,86+5,52+16,39+5,8+4,61+2,28+3,71</t>
  </si>
  <si>
    <t>" Pomocné lešení - 2. NP - místnosti 2013, 2015 - 2017a, 2046 - 2047 " 16,4+4,51+1,49+4,62+5,8+3,61+2,72+5,33</t>
  </si>
  <si>
    <t>" Pomocné lešení - 3. NP - místnosti 3004 - 3007a, 3026 - 3026b " 6,81+5,54+17,38+4,83+6,55+2,08+3,34</t>
  </si>
  <si>
    <t>" Pomocné lešení - 4. NP - místnosti 4028 - 4032 " 1,95+3,33+3,22+7,2+2,96</t>
  </si>
  <si>
    <t>" Pomocné lešení - 5. NP - místnost 5017, 5020 " 4,34+3,46</t>
  </si>
  <si>
    <t>" Vyčištění místností po provedení díla - 1 PP - 5. NP "</t>
  </si>
  <si>
    <t>" Vyčištění místností - 1. PP - místnosti -1012, -1015, -1016 " 6,01+3,88+1,96</t>
  </si>
  <si>
    <t>" Vyčištění místností - 1. NP - místnosti 1005 - 1008c " 3,85+2,86+5,52+16,39+5,8+4,61+2,28+3,71</t>
  </si>
  <si>
    <t>" Vyčištění místností - 2. NP - místnosti 2013, 2015 - 2017a, 2046 - 2047 " 16,4+4,51+1,49+4,62+5,8+3,61+2,72+5,33</t>
  </si>
  <si>
    <t>" Vyčištění místností - 3. NP - místnosti 3004 - 3007a, 3026 - 3026b " 6,81+5,54+17,38+4,83+6,55+2,08+3,34</t>
  </si>
  <si>
    <t>" Vyčištění místností - 4. NP - místnosti 4028 - 4032 " 1,95+3,33+3,22+7,2+2,96</t>
  </si>
  <si>
    <t>" Vyčištění místností - 5. NP - místnost 5017, 5020 " 4,34+3,46</t>
  </si>
  <si>
    <t xml:space="preserve">" Vyčištění budov - plochy dopravních komunikací v objektu - odhad 200 m2 " </t>
  </si>
  <si>
    <t xml:space="preserve">Náklady spojené s odvozem a uložením suti - směsný stavební odpad - (malba) </t>
  </si>
  <si>
    <t>" - Vnitrostaveništní doprava suti a vybouraných hmot pro budovy v do 21 m ručně. V ceně svislé a vodorovné přesunutí sutě vč. naložení s urovnáním. "</t>
  </si>
  <si>
    <t>Přesun hmot ruční pro budovy v do 24 m</t>
  </si>
  <si>
    <t>763</t>
  </si>
  <si>
    <t>SDK příčka tl 100 mm profil CW+UW 50 desky 2xH2 12,5 s izolací EI 60 Rw do 51 dB</t>
  </si>
  <si>
    <t xml:space="preserve">CS ÚRS 2020 01 </t>
  </si>
  <si>
    <t>" S vloženou tepelnou izolací tl. 50 mm, s jednoduchými ocel.profily "</t>
  </si>
  <si>
    <t>" Cena včetně hladkého zatmelení napojovacích spár mezi deskami na obou vrstvách, výztužné pásky, vytmelení připojovacích spár, lemujících profilů, spojovacího a kotvícího materiálu. "</t>
  </si>
  <si>
    <t>763111437 RTO</t>
  </si>
  <si>
    <t>SDK příčka tl 200 mm profil CW+UW 100 desky 2xH2 12,5 s izolací EI 60 Rw do 56 dB</t>
  </si>
  <si>
    <t>" S vloženou tepelnou izolací tl. 150 mm, s jednoduchými ocel.profily "</t>
  </si>
  <si>
    <t>SDK příčka základní penetrační nátěr (oboustranně)</t>
  </si>
  <si>
    <t>" Penetrační nátěr obou stran SDK příček " (5,93+43,89+43,81+43,72+27,17)+(3,47+3,47+3,285)</t>
  </si>
  <si>
    <t>SDK stěna předsazená tl 75 mm profil CW+UW 50 desky 2xDFH2 12,5 s izolací EI 45</t>
  </si>
  <si>
    <t>763121473 RTO</t>
  </si>
  <si>
    <t>SDK stěna předsazená tl 100 mm profil CW+UW 75 desky 2xDFH2 15 bez izolace EI 60</t>
  </si>
  <si>
    <t>" Bez TI, s jednoduchými ocel.profily "</t>
  </si>
  <si>
    <t xml:space="preserve">763121474 RTO </t>
  </si>
  <si>
    <t xml:space="preserve">SDK stěna předsazená tl 150 mm profil CW+UW 100 desky 2xDFH2 15 bez izolace EI 60 </t>
  </si>
  <si>
    <t>" Bez vložené TI, s jednoduchými ocel.profily "</t>
  </si>
  <si>
    <t>763121467 RTO</t>
  </si>
  <si>
    <t>SDK stěna předsazená tl 200 mm profil CW+UW 100 desky 2xH2DF 12,5 TI 150 mm EI 45</t>
  </si>
  <si>
    <t>SDK stěna předsazená základní penetrační nátěr</t>
  </si>
  <si>
    <t>763131511 RTO</t>
  </si>
  <si>
    <t>SDK podhled deska 1xA 15 bez izolace jednovrstvá spodní kce profil CD+UD</t>
  </si>
  <si>
    <t>" SDK podhled hladký, bílý "</t>
  </si>
  <si>
    <t>" Cena včetně akustických desek, hladkého zatmelení napojovacích spár mezi deskami, nosných profilů, závěsů, lemujících a ukončujících lišt, spojovacího a kotvícího materiálu. "</t>
  </si>
  <si>
    <t>763131551 RTO</t>
  </si>
  <si>
    <t>SDK podhled deska 1xH2 15 bez izolace jednovrstvá spodní kce profil CD+UD</t>
  </si>
  <si>
    <t>" SDK podhled impregnovaný, zelený "</t>
  </si>
  <si>
    <t>" Cena včetně desek, hladkého zatmelení napojovacích spár mezi deskami, nosných profilů, závěsů, lemujících a ukončujících lišt, spojovacího a kotvícího materiálu. "</t>
  </si>
  <si>
    <t>SDK podhled základní penetrační nátěr</t>
  </si>
  <si>
    <t>" Penetrační nátěr SDK podhledů " (52,12+117,88)</t>
  </si>
  <si>
    <t>" Penetrační nátěr SDK podhledů - skokové změny " 0,7*(2,0+1,95)</t>
  </si>
  <si>
    <t>SDK podhled skoková změna v přes 0,5 m</t>
  </si>
  <si>
    <t>" Výšková změna u místností chodby - 1. NP " (1,95+2,0)*1,05</t>
  </si>
  <si>
    <t>Příplatek k SDK podhledu za výšku zavěšení přes 0,5 do 1,0 m</t>
  </si>
  <si>
    <t xml:space="preserve">" Příplatek za zavěšení přes 0,5 m do 1,0 m " </t>
  </si>
  <si>
    <t>" 1. NP " 2,28+3,71</t>
  </si>
  <si>
    <t>" 2. NP " 4,51+1,49</t>
  </si>
  <si>
    <t>" 3. NP " 2,08+3,34</t>
  </si>
  <si>
    <t>" 4. NP " 1,95+2,96</t>
  </si>
  <si>
    <t>Příplatek k SDK podhledu za výšku zavěšení přes 1,0 do 1,5 m</t>
  </si>
  <si>
    <t xml:space="preserve">" Příplatek za zavěšení přes 1,0 m do 1,5 m " </t>
  </si>
  <si>
    <t>" 1. NP " 3,85</t>
  </si>
  <si>
    <t>Přesun hmot procentní pro sádrokartonové konstrukce v objektech v do 24 m</t>
  </si>
  <si>
    <t>%</t>
  </si>
  <si>
    <t>HZS2171</t>
  </si>
  <si>
    <t>Hodinová zúčtovací sazba sádrokartonář</t>
  </si>
  <si>
    <t xml:space="preserve">" Stavební práce a dodávky spojené s provedením funkčního celku 763. " </t>
  </si>
  <si>
    <t xml:space="preserve">" Zednická výpomoc, doplňkové práce,kompletace apod." </t>
  </si>
  <si>
    <t>771099101 SPC</t>
  </si>
  <si>
    <t>D+M Keramická dlažba - Podlaha v 1. PP - 5. NP - Specifikace dle PD - P1, P2</t>
  </si>
  <si>
    <t>" Skladba podlahy : "</t>
  </si>
  <si>
    <t>" Montáž dlažby "</t>
  </si>
  <si>
    <t>" Dodávka dlažby "</t>
  </si>
  <si>
    <t>" - Samonivelační stěrka - tl. 15 mm - 187,0 m2 "</t>
  </si>
  <si>
    <t>" V ceně také ukončovací , přechodové lišty z nerezových profilů s dilatační zónou, dilatační dvousložkové plastové profily, podlahové pásky po obvodu místností a keramický sokl v. 50 mm "</t>
  </si>
  <si>
    <t>" Cena zahrnuje lepící tmel, spárovací hmotu a pružný tmel pro dilatace. "</t>
  </si>
  <si>
    <t>" 1. PP - místnosti -1012, -1015, -1016 " 6,01+3,88+1,96</t>
  </si>
  <si>
    <t>" 1. NP - místnosti 1005 - 1008c " 3,85+2,86+5,52+16,39+5,8+4,61+2,28+3,71</t>
  </si>
  <si>
    <t>" 2. NP - místnosti 2013, 2015 - 2017a, 2046 - 2047 " 16,4+4,51+1,49+4,62+5,8+3,61+2,72+5,33</t>
  </si>
  <si>
    <t>" 3. NP - místnosti 3004 - 3007a, 3026 - 3026b " 6,81+5,54+17,38+4,83+6,55+2,08+3,34</t>
  </si>
  <si>
    <t>" 4. NP - místnosti 4028 - 4032 " 1,95+3,33+3,22+7,2+2,96</t>
  </si>
  <si>
    <t>" 5. NP - místnost 5020 " 3,46</t>
  </si>
  <si>
    <t>771099201 SPC</t>
  </si>
  <si>
    <t xml:space="preserve">D+M Příprava podkladu před pokládkou dlažby - Specifikace dle PD                                             </t>
  </si>
  <si>
    <t>" - Vyčištění podkladu, vyspravení, vyrovnání, odstranění nerovností apod."</t>
  </si>
  <si>
    <t>Nátěr penetrační na podlahu</t>
  </si>
  <si>
    <t>Příplatek k montáž podlah keramických za plochu do 5 m2</t>
  </si>
  <si>
    <t xml:space="preserve">" Příplatek za jednotlivé plochy do 5 m2 " </t>
  </si>
  <si>
    <t>" 1. PP - skladba P1 " 3,88+1,96</t>
  </si>
  <si>
    <t>" 1. NP - skladba P1 " 3,85+2,86+4,61+2,28+3,71</t>
  </si>
  <si>
    <t>" 2. NP - skladba P1 " 4,51+1,49+4,62+3,61+2,72</t>
  </si>
  <si>
    <t>" 3. NP - skladba P1 " 4,83+2,08+3,34</t>
  </si>
  <si>
    <t>" 4. NP - skladba P1 " 1,95+3,33+3,22+2,96</t>
  </si>
  <si>
    <t>" 5. NP - skladba P1 " 3,46</t>
  </si>
  <si>
    <t>Příplatek k montáž podlah keramických za spárování tmelem dvousložkovým</t>
  </si>
  <si>
    <t>Izolace pod dlažbu nátěrem nebo stěrkou ve dvou vrstvách</t>
  </si>
  <si>
    <t>" Hydroizolační stěrka pod keramickou dlažbu - skladbu P1 "  (170,0)*1,00</t>
  </si>
  <si>
    <t>" Odečet za skladbu P2 " -(16,39+16,4+17,38+1,95)</t>
  </si>
  <si>
    <t>Přesun hmot procentní pro podlahy z dlaždic v objektech v do 24 m</t>
  </si>
  <si>
    <t>HZS2331</t>
  </si>
  <si>
    <t>Hodinová zúčtovací sazba podlahář</t>
  </si>
  <si>
    <t xml:space="preserve">" Stavební práce a dodávky spojené s provedením funkčního celku 771 " </t>
  </si>
  <si>
    <t xml:space="preserve">" Zednická výpomoc,doplňkové práce,kompletace,zřízení prostupů,zapravení prostupů, apod. " </t>
  </si>
  <si>
    <t>781</t>
  </si>
  <si>
    <t>D+M Obklad vnitřní keramický - Specifikace dle PD</t>
  </si>
  <si>
    <t>" Obklad v 1. PP " 42,99</t>
  </si>
  <si>
    <t>" Obklad v 1. NP " 128,4</t>
  </si>
  <si>
    <t>" Obklad v 2. NP " 125,4</t>
  </si>
  <si>
    <t>" Obklad v 3. NP " 123,3</t>
  </si>
  <si>
    <t>" Obklad v 4. NP " 67,89</t>
  </si>
  <si>
    <t>" Obklad v 5. NP " 12,34</t>
  </si>
  <si>
    <t>" Montáž obkladu "</t>
  </si>
  <si>
    <t>" Dodávka obkladu " (500,32)*1,1</t>
  </si>
  <si>
    <t>D+M Obklad vnitřní keramický dle stávajícího druhu - Specifikace dle PD</t>
  </si>
  <si>
    <t xml:space="preserve">" Provedení obkladu poškozených po vybourání dveří v m. 5017 - obklad dle stávajícího. " </t>
  </si>
  <si>
    <t>Izolace pod obklad nátěrem nebo stěrkou ve dvou vrstvách</t>
  </si>
  <si>
    <t>" Hydroizolační stěrka pod keramický obklad " (500,32+1,0)</t>
  </si>
  <si>
    <t>Příplatek k montáži obkladů vnitřních keramických hladkých za spárování tmelem dvousložkovým</t>
  </si>
  <si>
    <t>Nátěr penetrační na stěnu</t>
  </si>
  <si>
    <t>Přesun hmot procentní pro obklady keramické v objektech v do 24 m</t>
  </si>
  <si>
    <t>HZS2321</t>
  </si>
  <si>
    <t>Hodinová zúčtovací sazba obkladač</t>
  </si>
  <si>
    <t xml:space="preserve">" Stavební práce a dodávky spojené s provedením funkčního celku 781 " </t>
  </si>
  <si>
    <t>Oprášení (ometení ) podkladu v místnostech výšky do 3,80 m</t>
  </si>
  <si>
    <t>" Oprášení / ometení konstrukcí před penetrací. "</t>
  </si>
  <si>
    <t>Oškrabání malby v mísnostech výšky do 3,80 m</t>
  </si>
  <si>
    <t xml:space="preserve">" Oškrábání maleb na stávajících konstrukcích - stěny. " </t>
  </si>
  <si>
    <t>" 1. PP - 5. NP " 251,63</t>
  </si>
  <si>
    <t>" Dopočet za malbu od výšky původního obkladu do 2 m - 1. PP - 5. NP " 7,31+8,94+8,81+8,7-0,88-1,23</t>
  </si>
  <si>
    <t>" V ceně také zvlhčení podkladu. "</t>
  </si>
  <si>
    <t>Rozmývání podkladu po oškrabání malby v místnostech výšky do 3,80 m</t>
  </si>
  <si>
    <t xml:space="preserve">" Rozmývání podkladu na stávajících konstrukcích po seškrábání stávajících maleb " </t>
  </si>
  <si>
    <t>Olepování vnitřních ploch páskou v místnostech výšky do 5,00 m</t>
  </si>
  <si>
    <t>" Olepení styčných ploch + olepení v místech ostře zakončených maleb "</t>
  </si>
  <si>
    <t>" Olepení v místě obkladu - odhad 300 m " 300</t>
  </si>
  <si>
    <t>" Olepení v místě zárubní - odhad  250 m " 250</t>
  </si>
  <si>
    <t>" V ceně také odstranění fólie po provedení prací. "</t>
  </si>
  <si>
    <t>fólie s papírovou páskou pro malířské potřeby 210mmx20m</t>
  </si>
  <si>
    <t>" Fólie s páskou pro přilepení u obkladů " (300)*1,05</t>
  </si>
  <si>
    <t>" Fólie s páskou pro přilepení u zárubní " (250)*1,05</t>
  </si>
  <si>
    <t>Zakrytí vnitřních ploch stěn v místnostech výšky do 3,80 m</t>
  </si>
  <si>
    <t>" Provedení zakrytí oken, dveří, obkladů, před malováním "</t>
  </si>
  <si>
    <t>" 1. PP - 5. NP - odhad 625 m2 "</t>
  </si>
  <si>
    <t>Zakrytí vnitřních ploch konstrukcí nebo prvků v místnostech výšky do 3,80 m</t>
  </si>
  <si>
    <t>" Provedení zakrytí stávajícího vybavení - nábytku, radiátorů, atp. před malováním "</t>
  </si>
  <si>
    <t>" 1. PP - 5. NP - odhad 200 m2 "</t>
  </si>
  <si>
    <t>fólie pro malířské potřeby zakrývací tl 7µ 4x5m</t>
  </si>
  <si>
    <t xml:space="preserve">" Fólie pro zakrytí vnitřních stěn, oken, dveří " </t>
  </si>
  <si>
    <t>" Fólie pro zakrytí vnitřního vybavení "</t>
  </si>
  <si>
    <t>" Odhad - 200 m2 " (200)*1,05</t>
  </si>
  <si>
    <t>Základní akrylátová jednonásobná penetrace podkladu v místnostech výšky do 3,80m</t>
  </si>
  <si>
    <t>Dvojnásobné bílé malby ze směsí za mokra výborně otěruvzdorných v místnostech výšky do 3,80 m</t>
  </si>
  <si>
    <t>" Malba SDK příček " (174,75)*2</t>
  </si>
  <si>
    <t>" Malba SDK podhledů " (52,12+117,88+2,77)*1</t>
  </si>
  <si>
    <t>" Malba zazděných otvorů " (4,3)*1</t>
  </si>
  <si>
    <t>" Malba opravovaných omítek stěn " (251,63)</t>
  </si>
  <si>
    <t>" Malba omítek stěn pokrytých obkladem " (328,2)</t>
  </si>
  <si>
    <t>Příplatek k cenám 2x maleb ze směsí za mokra otěruvzdorných za barevnou malbu tónovanou přípravky</t>
  </si>
  <si>
    <t>HZS2311</t>
  </si>
  <si>
    <t>Hodinová zúčtovací sazba malíř, natěrač, lakýrník</t>
  </si>
  <si>
    <t xml:space="preserve">" Stavební práce a dodávky spojené s provedením funkčního celku 784 " </t>
  </si>
  <si>
    <t xml:space="preserve">" Zednická výpomoc,doplňkové práce,kompletace,zřízení prostupů,zapravení prostupů, apod." </t>
  </si>
  <si>
    <t>790999201 SPC</t>
  </si>
  <si>
    <t xml:space="preserve">DMTŽ+D+M Orientační a bezpečnostní tabulky vč. prvků na stěnách </t>
  </si>
  <si>
    <t>" Demontáž, uskladnění, případná výměna, doplnění, dodávka a montáž prvků orientačních a bezpečnostních tabulek, poplachových směrnic  - např. únikový východ, hydrant, rozvaděč, atd.
V ceně také dočasné demontáž, uskladnění  a zpětná montáž prvků na stěnách před provedením omítářských a malířských prací - např. nástěnky obrazy, atp. "</t>
  </si>
  <si>
    <t>" V ceně také kotvící prvky, přesun hmot a suti a likvidace suti. "</t>
  </si>
  <si>
    <t>790</t>
  </si>
  <si>
    <t>998790203 SPC</t>
  </si>
  <si>
    <t>Přesun hmot pro ostatní výrobky v objektech v do 24 m</t>
  </si>
  <si>
    <t xml:space="preserve">" Stavební práce a dodávky spojené s provedením funkčního celku 790 " </t>
  </si>
  <si>
    <t>02 - D.1.1. ASŘ - NOVÝ STAV</t>
  </si>
  <si>
    <t>Ometení (oprášení) stěny při přípravě podkladu</t>
  </si>
  <si>
    <t>" Ometení podkladu před provedením montáže obkladu " (500,32+1,0)</t>
  </si>
  <si>
    <t>781099901 SPC</t>
  </si>
  <si>
    <t>781099902 SPC</t>
  </si>
  <si>
    <t>Celoplošné vyrovnání podkladu stěrkou tl 3 mm</t>
  </si>
  <si>
    <t>979999911 SPC</t>
  </si>
  <si>
    <t>Případné nutné vyspravení / dozdění otvorů ve zdivu po demontáži rozvaděče  - Specifikace dle PD</t>
  </si>
  <si>
    <t>" Úprava po vybourání rozvaděčí ve zdivu - 1. NP - 4. NP " 1+1+1+1</t>
  </si>
  <si>
    <t>" V ceně veškerý materiál a příslušenství nutné pro úpravu stavebních otovrů - vyrovnání povrchu po vybourání otvorů jako příprava pro povrchové úpravy vč. vnitřní úpravy pro osazení rozvaděče. V ceně případný přesun hmot a suti. "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</si>
  <si>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</si>
  <si>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 xml:space="preserve">" Omítka vč. spojovací vrstvy (postřiku, spojovacího můstku). " </t>
  </si>
  <si>
    <t>" Penetrační nátěr předsazených SDK stěn " (2,885+12,822+10,754+12,215+4,262+0,11+0,06)+(6,022)+(1,072+0,15+8,826+1,357+0,14)+(2,475)</t>
  </si>
  <si>
    <t>" Odhad 625 m2 " (625)*1,05</t>
  </si>
  <si>
    <t>" Oškrábání maleb na stávajících konstrukcích - stropy " 170,04</t>
  </si>
  <si>
    <t>" Rozmývání na stávajících konstrukcích - stropy " 170,04</t>
  </si>
  <si>
    <t>" Malba SDK stěn předsazených " (63,15)*1</t>
  </si>
  <si>
    <t>" Odhad pro další patra - 7,5 m2 "</t>
  </si>
  <si>
    <t>945412901 SPC</t>
  </si>
  <si>
    <t>Teleskopická hydraulická montážní plošina výška zdvihu do 21 m / lešení vč. pronájmů a příslušenství</t>
  </si>
  <si>
    <t xml:space="preserve">" Teleskopická plošina / lešení pro úpravu otvorů pro vybourání prostupů pro VZT potrubí a dalších prací na fasádě. " </t>
  </si>
  <si>
    <t>" V ceně pronájem plošiny / lešení, příslušenství pro lešení (ochranná síť, stříška, …) vč. pronájmu, a další případné práce a materiál. "</t>
  </si>
  <si>
    <t>" POZN: Volba vzhledem k umístění otvorů a přístupnosti. "</t>
  </si>
  <si>
    <t>SDK příčka Al úhelník k ochraně rohů</t>
  </si>
  <si>
    <t>" Ochrana rohů SDK konstrukcí hliníkovými nárožíky - v částech nad obkladem "</t>
  </si>
  <si>
    <t>SDK příčka ukončení ve volném prostoru</t>
  </si>
  <si>
    <t xml:space="preserve">" Provedení ukončení SDK příčky ve voplném prostoru " </t>
  </si>
  <si>
    <t>SDK příčka zalomení</t>
  </si>
  <si>
    <t xml:space="preserve">" Provedení zalomení SDK příčky " </t>
  </si>
  <si>
    <t>" 3. NP " (3,65)*1</t>
  </si>
  <si>
    <t>" 1. PP - boční ukončení ve volném prostoru " (2,9)*2</t>
  </si>
  <si>
    <t>" 1. NP - boční ukončení ve volném prostoru " (3,65)*1</t>
  </si>
  <si>
    <t>" 2. NP - boční ukončení ve volném prostoru " (3,65)*1</t>
  </si>
  <si>
    <t>" 3. NP - boční ukončení ve volném prostoru " (3,65)*1</t>
  </si>
  <si>
    <t>" V ceně hliníkové profily rohové, ukončovací a přechodové, také spárování vodoodpudivou epoxidovou hmotou a tenkovrstvé flexibilní lepidlo. Součástí dodávky je těsnící flexibilní pás stěna/podlaha a silikování koutů  "</t>
  </si>
  <si>
    <t>784181001 SPC</t>
  </si>
  <si>
    <t>D+M Penetrace základním pigmentovým nátěrem (modifikované remineralizační plastová disperze), vysoce čistitelná, odolná vůči dezinfekčním a čistícím prostředkům - Specifikace dle PD</t>
  </si>
  <si>
    <t>" Pigmentový nátěr pro SDK konstrukce. "</t>
  </si>
  <si>
    <t>" Základní plněný pigmentový nátěr. Bez konzervačních látek. "</t>
  </si>
  <si>
    <t>784211011 SPC</t>
  </si>
  <si>
    <t>D+M Dvojnásobná interiérová hedvábně matná vinylová barva bez obsahu rozpouštědel - Specifikace dle PD</t>
  </si>
  <si>
    <t>" Malba pro SDK konstrukce. "</t>
  </si>
  <si>
    <t>" Dvojnásobná malba (nátěr) interiérovou hedvábně matnou vinylovou barvou bez obsahu rozpouštědel.
Barva vhodná do školských prostor, kde je požadováno časté mytí a desinfekce.
Barva vysoce čistitelná, odolná proti čistícím prostředkům. "</t>
  </si>
  <si>
    <t>" Nátěr SDK příček " (174,75)*2</t>
  </si>
  <si>
    <t>" Nátěr SDK stěn předsazených " (63,15)*1</t>
  </si>
  <si>
    <t>" Nátěr SDK podhledů " (52,12+117,88+2,77)*1</t>
  </si>
  <si>
    <t>" Odečet za plochy pokryté obkladem na zdivu " -(39,9+82,8+81,0+80,9+35,0+12,3)</t>
  </si>
  <si>
    <t>" Odečet za plochy pokryté obkladem na SDK " -(501,32-331,9)</t>
  </si>
  <si>
    <t>622143901 SPC</t>
  </si>
  <si>
    <t>D+M Omítkové / podomítkové profily okolo oken, otvorů - Specifikace dle PD</t>
  </si>
  <si>
    <t xml:space="preserve">" Omítkové / podomítkové profily v okolí oken, otvorů - rohové, začišťovací, apod. " </t>
  </si>
  <si>
    <t>" V ceně veškeré nutné omítkové profily pro okna / dveře / rohy / kouty pro interiér i exteriér - rohové / zašiťovací, apod., kotvící a spojovací materiál a další veškeré práce související s provedením omítkových profilů, přesun hmot, suti. "</t>
  </si>
  <si>
    <t>" Likvidace vybouraného materiálu - oškrábání malby. " 0,141</t>
  </si>
  <si>
    <t>" Vyrovnání podkladu před provedením obkladů  " (42,99+128,4+125,4+123,3+67,89+12,34+1,0)</t>
  </si>
  <si>
    <t>" Příplatek za barevnou malbu v místnostech " 416,0+252,23</t>
  </si>
  <si>
    <t>D+M Ocelové potrubí do otvorů pro prostup VZT - potrubí 324×8,0 mm - Specifikace dle PD</t>
  </si>
  <si>
    <t xml:space="preserve">" Ocelové potrubí do vybouraného otvoru pro VZT - 1. NP - 3. NP " (0,6+0,6+0,55)*1,1 </t>
  </si>
  <si>
    <t>" V ceně veškeré nutné práce a materiál vč. případného nasunutí potrubí VZT do ocelového potrubí. "</t>
  </si>
  <si>
    <t>790999101 SPC</t>
  </si>
  <si>
    <t xml:space="preserve">" Ocelové potrubí do vybouraného otvoru pro VZT - 1. PP, 4. NP " (0,6+0,45)*1,1 </t>
  </si>
  <si>
    <t>D+M Ocelové potrubí do otvorů pro prostup VZT - potrubí 273×7,0 mm - Specifikace dle PD</t>
  </si>
  <si>
    <t>790999202 SPC</t>
  </si>
  <si>
    <t>" Přizdívka pro vyrovnání povrchu zdiva - 1. NP " (0,45*3,65)*1,2</t>
  </si>
  <si>
    <t>" Přizdívka pro vyrovnání povrchu zdiva - 2. NP " (0,45*3,65)*1,2</t>
  </si>
  <si>
    <t>" Přizdívka ostění pro osazení otvorů - 5. NP - pro vstup do místnosti 5020 " (0,15*2,02)*1,2</t>
  </si>
  <si>
    <t>" Přizdívka ostění pro osazení otvorů - 5. NP - pro vstup do místnosti 5017 " (0,1*2,02)*1,2</t>
  </si>
  <si>
    <t>" Vyztužení materiálových přechodů pod omítku - 125 % z plochy omítek pro zazdívku otvorů - za opravy " (0,1*2,02*2+0,15*2,02*2+0,45*3,65*2)*1,25</t>
  </si>
  <si>
    <t>" Profily pro dveře v nice a niky, apod. - 400 m " (400)*1,5</t>
  </si>
  <si>
    <t>" Profily u stávajících oken - vnitřní + vnější - 500 m " (500)*1,5</t>
  </si>
  <si>
    <t>" SDK příčka - 1. PP " (5,93)*1,15</t>
  </si>
  <si>
    <t>" SDK příčka - 1. NP " (43,89)*1,15</t>
  </si>
  <si>
    <t>" SDK příčka - 2. NP " (43,81)*1,15</t>
  </si>
  <si>
    <t>" SDK příčka - 3. NP " (43,72)*1,15</t>
  </si>
  <si>
    <t>" SDK příčka - 4. NP " (27,17)*1,15</t>
  </si>
  <si>
    <t>" SDK příčka - 1. NP " (3,47)*1,15</t>
  </si>
  <si>
    <t>" SDK příčka - 2. NP " (3,47)*1,15</t>
  </si>
  <si>
    <t>" SDK příčka - 3. NP " (3,285)*1,15</t>
  </si>
  <si>
    <t>" 1. PP " (8*(2,9-2,0))*1,15</t>
  </si>
  <si>
    <t>" 1. NP " (10*(3,65-2,0))*1,15</t>
  </si>
  <si>
    <t>" 2. NP " (10*(3,65-2,0))*1,15</t>
  </si>
  <si>
    <t>" 3. NP " (10*(3,65-2,0))*1,15</t>
  </si>
  <si>
    <t>" 4. NP " (5*(3,65-2,0))*1,15</t>
  </si>
  <si>
    <t>" 5. NP " (1*(2,75-2,0))*1,15</t>
  </si>
  <si>
    <t>" Opláštění profesí - 1. PP " (2,885)*1,15</t>
  </si>
  <si>
    <t>" Opláštění profesí - 1. NP " (12,822)*1,15</t>
  </si>
  <si>
    <t>" Opláštění profesí - 2. NP " (10,754)*1,15</t>
  </si>
  <si>
    <t>" Opláštění profesí - 3. NP " (12,215)*1,15</t>
  </si>
  <si>
    <t>" Opláštění profesí - 4. NP " (4,262)*1,15</t>
  </si>
  <si>
    <t>" Opláštění kanalizace - 5. NP " (0,11+0,06)*1,15</t>
  </si>
  <si>
    <t>" Instalační předstěna vysoká - 4. NP " (6,022)*1,15</t>
  </si>
  <si>
    <t>" Instalační předstěna nízká - 1. PP " (1,072+0,15)*1,15</t>
  </si>
  <si>
    <t>" Instalační předstěna vysoká - 4. NP " (8,826)*1,15</t>
  </si>
  <si>
    <t>" Instalační předstěna nízká - 5. NP " (1,357+0,14)*1,15</t>
  </si>
  <si>
    <t>" Instalační předstěna vysoká - 1. PP " (2,475)*1,15</t>
  </si>
  <si>
    <t>" 1. NP - m. 1007 " (16,39)*1,15</t>
  </si>
  <si>
    <t>" 2. NP - m. 2013 " (16,4)*1,15</t>
  </si>
  <si>
    <t>" 3. NP - m. 3006 " (17,38)*1,15</t>
  </si>
  <si>
    <t>" 4. NP - m. 4028 " (1,95)*1,15</t>
  </si>
  <si>
    <t>" 1. PP - místnosti -1012, -1015, -1016 " (6,01+3,88+1,96)*1,15</t>
  </si>
  <si>
    <t>" 1. NP - místnosti 1005 - 1008c vyjma 1007 " (3,85+2,86+5,52+5,8+4,61+2,28+3,71)*1,15</t>
  </si>
  <si>
    <t>" 2. NP - místnosti 2015 - 2017a, 2046 - 2047 " (4,51+1,49+4,62+5,8+3,61+2,72+5,33)*1,15</t>
  </si>
  <si>
    <t>" 3. NP - místnosti 3004 - 3007a, 3026 - 3026b vyjma 3006 " (6,81+5,54+4,83+6,55+2,08+3,34)*1,15</t>
  </si>
  <si>
    <t>" 4. NP - místnosti 4029 - 4032 " (3,33+3,22+7,2+2,96)*1,15</t>
  </si>
  <si>
    <t>" 5. NP - místnost 5020 " (3,46)*1,15</t>
  </si>
  <si>
    <t xml:space="preserve">" - Keramická dlažba do tmelu - tl. 15 mm - 204,0 m2. " </t>
  </si>
  <si>
    <t>" Keramický obklad lepený flexibilním lepidlem - 600,4 m2 "</t>
  </si>
  <si>
    <t>" Odhadované množství - 1 m2 " (1,0)*1,2</t>
  </si>
  <si>
    <t>" V ceně I profily, betonový podkladní kvádřík pro osazení nosníků vč. případného vysekání kapes a odvozu suti, obetonování nosníků, výplň betonem mezi nosníky, bednění a podpůrné konstrukce, / obezdění a výplň cihlami. V ceně také případný hrubý zához viditelné části překladu pro provedení omítek vč. síťky. "</t>
  </si>
  <si>
    <t xml:space="preserve">D+M Ocelový / ocelobetonový překlad s valcovanými nosníky, 2x I č. 80, dl. 1,3 m - Specifikace dle PD </t>
  </si>
  <si>
    <t>" Překlad nade dveřmi - D101 - 1. NP " 1</t>
  </si>
  <si>
    <t>" Překlad nade dveřmi - D201 - 2. NP " 1</t>
  </si>
  <si>
    <t>317999103 SPC</t>
  </si>
  <si>
    <t>Příplatek k cenám opravy vápenné omítky stropů za dalších 10 mm v rozsahu do 50%</t>
  </si>
  <si>
    <t xml:space="preserve">" Příplatek za vyšší tl. omítky do 40 mm → 2× " </t>
  </si>
  <si>
    <t>" Příplatek k opravě omítek stropů - 1. PP - 5. NP " (11,93+45,19+44,55+46,24+18,81+3,32)*2</t>
  </si>
  <si>
    <t>22</t>
  </si>
  <si>
    <t>29a</t>
  </si>
  <si>
    <t>29b</t>
  </si>
  <si>
    <t>29c</t>
  </si>
  <si>
    <t>29d</t>
  </si>
  <si>
    <t>51a</t>
  </si>
  <si>
    <t>51b</t>
  </si>
  <si>
    <t>51c</t>
  </si>
  <si>
    <t>59a</t>
  </si>
  <si>
    <t>59b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</si>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</sst>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Kč&quot;;[Red]\-#,##0.00\ &quot;Kč&quot;"/>
    <numFmt numFmtId="164" formatCode="####;\-####"/>
    <numFmt numFmtId="165" formatCode="#,##0;\-#,##0"/>
    <numFmt numFmtId="166" formatCode="#,##0.00;\-#,##0.00"/>
    <numFmt numFmtId="167" formatCode="#,##0.000;\-#,##0.000"/>
    <numFmt numFmtId="168" formatCode="#,##0.00_ ;\-#,##0.00\ "/>
    <numFmt numFmtId="169" formatCode="#,##0_ ;\-#,##0\ "/>
  </numFmts>
  <fonts count="7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MS Sans Serif"/>
      <charset val="1"/>
    </font>
    <font>
      <sz val="8"/>
      <name val="MS Sans Serif"/>
      <family val="2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2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b/>
      <sz val="12"/>
      <color rgb="FFFF0000"/>
      <name val="MS Sans Serif"/>
      <family val="2"/>
      <charset val="238"/>
    </font>
    <font>
      <b/>
      <sz val="8"/>
      <color rgb="FFFF0000"/>
      <name val="MS Sans Serif"/>
      <family val="2"/>
    </font>
    <font>
      <sz val="8"/>
      <name val="Arial CYR"/>
      <charset val="238"/>
    </font>
    <font>
      <u/>
      <sz val="8"/>
      <color theme="10"/>
      <name val="MS Sans Serif"/>
      <family val="2"/>
    </font>
    <font>
      <sz val="8"/>
      <color indexed="12"/>
      <name val="Arial CE"/>
      <family val="2"/>
      <charset val="238"/>
    </font>
    <font>
      <b/>
      <sz val="11"/>
      <color rgb="FFFF0000"/>
      <name val="Trebuchet MS"/>
      <family val="2"/>
      <charset val="238"/>
    </font>
    <font>
      <b/>
      <sz val="8.5"/>
      <color rgb="FFFF0000"/>
      <name val="MS Sans Serif"/>
      <family val="2"/>
      <charset val="238"/>
    </font>
    <font>
      <sz val="10"/>
      <name val="Arial CE"/>
      <family val="2"/>
      <charset val="238"/>
    </font>
    <font>
      <sz val="8"/>
      <color rgb="FF0000FF"/>
      <name val="Arial CE"/>
      <family val="2"/>
      <charset val="238"/>
    </font>
    <font>
      <b/>
      <sz val="10"/>
      <color rgb="FFFF0000"/>
      <name val="MS Sans Serif"/>
      <family val="2"/>
    </font>
    <font>
      <sz val="8"/>
      <color indexed="18"/>
      <name val="Arial CE"/>
      <family val="2"/>
      <charset val="238"/>
    </font>
    <font>
      <b/>
      <sz val="8.5"/>
      <color rgb="FFFF0000"/>
      <name val="MS Sans Serif"/>
      <family val="2"/>
    </font>
    <font>
      <b/>
      <sz val="13.5"/>
      <color rgb="FFFF0000"/>
      <name val="MS Sans Serif"/>
      <family val="2"/>
    </font>
    <font>
      <b/>
      <sz val="8"/>
      <color rgb="FFFF0000"/>
      <name val="MS Sans Serif"/>
      <family val="2"/>
      <charset val="238"/>
    </font>
    <font>
      <sz val="10"/>
      <name val="Arial"/>
      <family val="2"/>
      <charset val="238"/>
    </font>
    <font>
      <b/>
      <sz val="12"/>
      <color rgb="FFFF0000"/>
      <name val="MS Sans Serif"/>
      <family val="2"/>
    </font>
    <font>
      <b/>
      <sz val="10"/>
      <color rgb="FFFF0000"/>
      <name val="Arial CE"/>
      <family val="2"/>
      <charset val="238"/>
    </font>
    <font>
      <sz val="8"/>
      <color indexed="54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MS Sans Serif"/>
      <charset val="238"/>
    </font>
    <font>
      <sz val="8"/>
      <color rgb="FFFF0000"/>
      <name val="Arial CE"/>
      <family val="2"/>
      <charset val="238"/>
    </font>
    <font>
      <b/>
      <sz val="14"/>
      <color indexed="10"/>
      <name val="Calibri"/>
      <family val="2"/>
      <charset val="238"/>
    </font>
    <font>
      <sz val="8"/>
      <color indexed="12"/>
      <name val="MS Sans Serif"/>
      <family val="2"/>
      <charset val="238"/>
    </font>
    <font>
      <b/>
      <sz val="8"/>
      <color indexed="10"/>
      <name val="MS Sans Serif"/>
      <family val="2"/>
      <charset val="238"/>
    </font>
    <font>
      <b/>
      <sz val="8"/>
      <name val="MS Sans Serif"/>
      <family val="2"/>
    </font>
    <font>
      <b/>
      <sz val="8"/>
      <color rgb="FF7030A0"/>
      <name val="MS Sans Serif"/>
      <family val="2"/>
    </font>
    <font>
      <sz val="8.5"/>
      <name val="MS Sans Serif"/>
      <family val="2"/>
    </font>
    <font>
      <b/>
      <sz val="11"/>
      <color rgb="FFFF0000"/>
      <name val="MS Sans Serif"/>
      <family val="2"/>
    </font>
    <font>
      <b/>
      <sz val="13.5"/>
      <name val="MS Sans Serif"/>
      <family val="2"/>
    </font>
    <font>
      <b/>
      <sz val="12"/>
      <color rgb="FFFF0000"/>
      <name val="Trebuchet MS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2"/>
      <name val="MS Sans Serif"/>
      <family val="2"/>
    </font>
    <font>
      <u/>
      <sz val="11"/>
      <color theme="10"/>
      <name val="Calibri"/>
      <family val="2"/>
    </font>
    <font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8"/>
      <color rgb="FFFF0000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8"/>
      <name val="MS Sans Serif"/>
      <family val="2"/>
    </font>
    <font>
      <i/>
      <sz val="8.5"/>
      <name val="MS Sans Serif"/>
      <family val="2"/>
    </font>
    <font>
      <b/>
      <i/>
      <sz val="10"/>
      <color rgb="FFFF0000"/>
      <name val="MS Sans Serif"/>
      <family val="2"/>
    </font>
    <font>
      <b/>
      <i/>
      <sz val="8"/>
      <color rgb="FFFF0000"/>
      <name val="MS Sans Serif"/>
      <family val="2"/>
    </font>
    <font>
      <b/>
      <i/>
      <sz val="11"/>
      <color rgb="FFFF0000"/>
      <name val="MS Sans Serif"/>
      <family val="2"/>
    </font>
    <font>
      <b/>
      <sz val="16"/>
      <color rgb="FFFF0000"/>
      <name val="Calibri"/>
      <family val="2"/>
      <charset val="238"/>
      <scheme val="minor"/>
    </font>
    <font>
      <b/>
      <sz val="8"/>
      <color rgb="FFFF0000"/>
      <name val="MS Sans Serif"/>
      <charset val="238"/>
    </font>
    <font>
      <b/>
      <sz val="11"/>
      <color rgb="FFFF0000"/>
      <name val="MS Sans Serif"/>
      <charset val="238"/>
    </font>
    <font>
      <b/>
      <sz val="9"/>
      <color rgb="FFFF0000"/>
      <name val="Arial CE"/>
      <family val="2"/>
      <charset val="238"/>
    </font>
    <font>
      <b/>
      <sz val="12"/>
      <color rgb="FFFF0000"/>
      <name val="MS Sans Serif"/>
      <charset val="238"/>
    </font>
    <font>
      <b/>
      <sz val="12"/>
      <color indexed="10"/>
      <name val="MS Sans Serif"/>
      <family val="2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</borders>
  <cellStyleXfs count="13">
    <xf numFmtId="0" fontId="0" fillId="0" borderId="0"/>
    <xf numFmtId="0" fontId="2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0" fillId="0" borderId="0"/>
    <xf numFmtId="0" fontId="1" fillId="0" borderId="0"/>
    <xf numFmtId="0" fontId="2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23" fillId="0" borderId="0"/>
    <xf numFmtId="0" fontId="7" fillId="0" borderId="0" applyAlignment="0">
      <alignment vertical="top" wrapText="1"/>
      <protection locked="0"/>
    </xf>
    <xf numFmtId="0" fontId="1" fillId="0" borderId="0"/>
  </cellStyleXfs>
  <cellXfs count="422">
    <xf numFmtId="0" fontId="0" fillId="0" borderId="0" xfId="0"/>
    <xf numFmtId="0" fontId="3" fillId="0" borderId="0" xfId="1" applyFont="1" applyFill="1" applyAlignment="1" applyProtection="1">
      <alignment horizontal="left"/>
    </xf>
    <xf numFmtId="0" fontId="4" fillId="0" borderId="0" xfId="1" applyFont="1" applyFill="1" applyAlignment="1" applyProtection="1">
      <alignment horizontal="left"/>
    </xf>
    <xf numFmtId="0" fontId="2" fillId="0" borderId="0" xfId="1" applyAlignment="1">
      <alignment horizontal="left" vertical="top"/>
      <protection locked="0"/>
    </xf>
    <xf numFmtId="0" fontId="2" fillId="0" borderId="0" xfId="1" applyAlignment="1">
      <alignment vertical="top"/>
      <protection locked="0"/>
    </xf>
    <xf numFmtId="0" fontId="6" fillId="0" borderId="0" xfId="2" applyAlignment="1" applyProtection="1"/>
    <xf numFmtId="0" fontId="4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 vertical="top"/>
      <protection locked="0"/>
    </xf>
    <xf numFmtId="0" fontId="6" fillId="0" borderId="0" xfId="2" applyAlignment="1" applyProtection="1">
      <alignment horizontal="left" vertical="top"/>
      <protection locked="0"/>
    </xf>
    <xf numFmtId="0" fontId="8" fillId="0" borderId="0" xfId="2" applyFont="1" applyAlignment="1" applyProtection="1">
      <alignment horizontal="left" vertical="top"/>
      <protection locked="0"/>
    </xf>
    <xf numFmtId="0" fontId="9" fillId="0" borderId="0" xfId="3" applyFont="1" applyFill="1" applyAlignment="1" applyProtection="1">
      <alignment horizontal="left"/>
    </xf>
    <xf numFmtId="0" fontId="9" fillId="2" borderId="0" xfId="2" applyFont="1" applyFill="1" applyAlignment="1" applyProtection="1">
      <alignment horizontal="left"/>
    </xf>
    <xf numFmtId="0" fontId="6" fillId="0" borderId="0" xfId="2" applyAlignment="1">
      <alignment horizontal="left" vertical="top"/>
      <protection locked="0"/>
    </xf>
    <xf numFmtId="0" fontId="6" fillId="0" borderId="0" xfId="2" applyFill="1" applyAlignment="1">
      <alignment horizontal="left" vertical="top"/>
      <protection locked="0"/>
    </xf>
    <xf numFmtId="0" fontId="9" fillId="0" borderId="0" xfId="1" applyFont="1" applyFill="1" applyAlignment="1" applyProtection="1">
      <alignment horizontal="left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164" fontId="9" fillId="0" borderId="4" xfId="1" applyNumberFormat="1" applyFont="1" applyFill="1" applyBorder="1" applyAlignment="1" applyProtection="1">
      <alignment horizontal="center" vertical="center"/>
    </xf>
    <xf numFmtId="164" fontId="9" fillId="0" borderId="5" xfId="1" applyNumberFormat="1" applyFont="1" applyFill="1" applyBorder="1" applyAlignment="1" applyProtection="1">
      <alignment horizontal="center" vertical="center"/>
    </xf>
    <xf numFmtId="164" fontId="9" fillId="0" borderId="6" xfId="1" applyNumberFormat="1" applyFont="1" applyFill="1" applyBorder="1" applyAlignment="1" applyProtection="1">
      <alignment horizontal="center" vertical="center"/>
    </xf>
    <xf numFmtId="0" fontId="2" fillId="2" borderId="0" xfId="1" applyFill="1" applyAlignment="1">
      <alignment horizontal="left" vertical="top"/>
      <protection locked="0"/>
    </xf>
    <xf numFmtId="165" fontId="2" fillId="0" borderId="0" xfId="1" applyNumberFormat="1" applyFill="1" applyAlignment="1">
      <alignment horizontal="right" vertical="top"/>
      <protection locked="0"/>
    </xf>
    <xf numFmtId="0" fontId="2" fillId="0" borderId="0" xfId="1" applyFill="1" applyAlignment="1">
      <alignment horizontal="left" vertical="top" wrapText="1"/>
      <protection locked="0"/>
    </xf>
    <xf numFmtId="0" fontId="2" fillId="0" borderId="0" xfId="1" applyFont="1" applyAlignment="1">
      <alignment horizontal="left" vertical="top"/>
      <protection locked="0"/>
    </xf>
    <xf numFmtId="0" fontId="10" fillId="0" borderId="7" xfId="1" applyFont="1" applyBorder="1" applyAlignment="1" applyProtection="1">
      <alignment horizontal="center" vertical="center"/>
    </xf>
    <xf numFmtId="0" fontId="10" fillId="0" borderId="7" xfId="1" applyFont="1" applyBorder="1" applyAlignment="1" applyProtection="1">
      <alignment horizontal="left" vertical="center"/>
    </xf>
    <xf numFmtId="166" fontId="10" fillId="0" borderId="7" xfId="1" applyNumberFormat="1" applyFont="1" applyBorder="1" applyAlignment="1" applyProtection="1">
      <alignment horizontal="right" vertical="center"/>
    </xf>
    <xf numFmtId="4" fontId="2" fillId="0" borderId="0" xfId="1" applyNumberFormat="1" applyAlignment="1">
      <alignment vertical="top"/>
      <protection locked="0"/>
    </xf>
    <xf numFmtId="0" fontId="11" fillId="0" borderId="7" xfId="1" applyFont="1" applyBorder="1" applyAlignment="1" applyProtection="1">
      <alignment horizontal="center" vertical="center"/>
    </xf>
    <xf numFmtId="0" fontId="11" fillId="0" borderId="7" xfId="1" applyFont="1" applyBorder="1" applyAlignment="1" applyProtection="1">
      <alignment horizontal="left" vertical="center"/>
    </xf>
    <xf numFmtId="166" fontId="11" fillId="0" borderId="7" xfId="1" applyNumberFormat="1" applyFont="1" applyBorder="1" applyAlignment="1" applyProtection="1">
      <alignment horizontal="right" vertical="center"/>
    </xf>
    <xf numFmtId="0" fontId="12" fillId="0" borderId="7" xfId="1" applyFont="1" applyBorder="1" applyAlignment="1" applyProtection="1">
      <alignment horizontal="center" vertical="center"/>
    </xf>
    <xf numFmtId="0" fontId="12" fillId="0" borderId="7" xfId="1" applyFont="1" applyBorder="1" applyAlignment="1" applyProtection="1">
      <alignment horizontal="left" vertical="center"/>
    </xf>
    <xf numFmtId="166" fontId="12" fillId="0" borderId="7" xfId="1" applyNumberFormat="1" applyFont="1" applyBorder="1" applyAlignment="1" applyProtection="1">
      <alignment horizontal="right" vertical="center"/>
    </xf>
    <xf numFmtId="165" fontId="2" fillId="0" borderId="7" xfId="1" applyNumberFormat="1" applyFill="1" applyBorder="1" applyAlignment="1">
      <alignment horizontal="right" vertical="top"/>
      <protection locked="0"/>
    </xf>
    <xf numFmtId="0" fontId="13" fillId="0" borderId="7" xfId="1" applyFont="1" applyBorder="1" applyAlignment="1" applyProtection="1">
      <alignment horizontal="left" vertical="center"/>
    </xf>
    <xf numFmtId="166" fontId="13" fillId="0" borderId="7" xfId="1" applyNumberFormat="1" applyFont="1" applyBorder="1" applyAlignment="1" applyProtection="1">
      <alignment horizontal="right" vertical="center"/>
    </xf>
    <xf numFmtId="0" fontId="2" fillId="0" borderId="0" xfId="1" applyFill="1" applyAlignment="1">
      <alignment horizontal="left" vertical="top"/>
      <protection locked="0"/>
    </xf>
    <xf numFmtId="0" fontId="14" fillId="0" borderId="0" xfId="3" applyFont="1" applyFill="1" applyAlignment="1" applyProtection="1">
      <alignment horizontal="center" vertical="center"/>
      <protection locked="0"/>
    </xf>
    <xf numFmtId="0" fontId="15" fillId="0" borderId="0" xfId="1" applyFont="1" applyFill="1" applyAlignment="1">
      <alignment horizontal="left" vertical="center"/>
      <protection locked="0"/>
    </xf>
    <xf numFmtId="0" fontId="7" fillId="0" borderId="0" xfId="3" applyFill="1" applyAlignment="1" applyProtection="1">
      <alignment horizontal="left" vertical="top"/>
      <protection locked="0"/>
    </xf>
    <xf numFmtId="0" fontId="7" fillId="0" borderId="0" xfId="3" applyFill="1" applyAlignment="1" applyProtection="1"/>
    <xf numFmtId="0" fontId="7" fillId="0" borderId="0" xfId="3" applyAlignment="1" applyProtection="1"/>
    <xf numFmtId="0" fontId="4" fillId="0" borderId="0" xfId="3" applyFont="1" applyFill="1" applyAlignment="1" applyProtection="1">
      <alignment horizontal="left"/>
    </xf>
    <xf numFmtId="0" fontId="2" fillId="0" borderId="0" xfId="3" applyFont="1" applyFill="1" applyAlignment="1" applyProtection="1">
      <alignment horizontal="left" vertical="top"/>
      <protection locked="0"/>
    </xf>
    <xf numFmtId="0" fontId="7" fillId="0" borderId="0" xfId="3" applyFill="1" applyAlignment="1">
      <alignment horizontal="left" vertical="top"/>
      <protection locked="0"/>
    </xf>
    <xf numFmtId="0" fontId="8" fillId="0" borderId="0" xfId="3" applyFont="1" applyFill="1" applyAlignment="1" applyProtection="1">
      <alignment horizontal="left" vertical="top"/>
      <protection locked="0"/>
    </xf>
    <xf numFmtId="0" fontId="7" fillId="0" borderId="0" xfId="3" applyAlignment="1" applyProtection="1">
      <alignment horizontal="left" vertical="top"/>
      <protection locked="0"/>
    </xf>
    <xf numFmtId="0" fontId="5" fillId="0" borderId="0" xfId="1" applyFont="1" applyFill="1" applyAlignment="1" applyProtection="1">
      <alignment horizontal="left"/>
    </xf>
    <xf numFmtId="0" fontId="7" fillId="0" borderId="0" xfId="3" applyAlignment="1">
      <alignment horizontal="left" vertical="top"/>
      <protection locked="0"/>
    </xf>
    <xf numFmtId="2" fontId="16" fillId="0" borderId="0" xfId="3" applyNumberFormat="1" applyFont="1" applyFill="1" applyAlignment="1" applyProtection="1">
      <alignment vertical="center"/>
      <protection locked="0"/>
    </xf>
    <xf numFmtId="0" fontId="17" fillId="0" borderId="0" xfId="1" applyFont="1" applyFill="1" applyAlignment="1">
      <alignment horizontal="left" vertical="center"/>
      <protection locked="0"/>
    </xf>
    <xf numFmtId="0" fontId="18" fillId="2" borderId="8" xfId="1" applyFont="1" applyFill="1" applyBorder="1" applyAlignment="1" applyProtection="1">
      <alignment horizontal="center" vertical="center" wrapText="1"/>
    </xf>
    <xf numFmtId="0" fontId="19" fillId="0" borderId="0" xfId="4" applyFill="1" applyAlignment="1">
      <alignment horizontal="left" vertical="top"/>
      <protection locked="0"/>
    </xf>
    <xf numFmtId="165" fontId="5" fillId="2" borderId="9" xfId="1" applyNumberFormat="1" applyFont="1" applyFill="1" applyBorder="1" applyAlignment="1">
      <alignment horizontal="right"/>
      <protection locked="0"/>
    </xf>
    <xf numFmtId="0" fontId="5" fillId="2" borderId="9" xfId="1" applyFont="1" applyFill="1" applyBorder="1" applyAlignment="1">
      <alignment horizontal="left" wrapText="1"/>
      <protection locked="0"/>
    </xf>
    <xf numFmtId="167" fontId="5" fillId="2" borderId="9" xfId="1" applyNumberFormat="1" applyFont="1" applyFill="1" applyBorder="1" applyAlignment="1">
      <alignment horizontal="right"/>
      <protection locked="0"/>
    </xf>
    <xf numFmtId="166" fontId="5" fillId="2" borderId="9" xfId="1" applyNumberFormat="1" applyFont="1" applyFill="1" applyBorder="1" applyAlignment="1">
      <alignment horizontal="right"/>
      <protection locked="0"/>
    </xf>
    <xf numFmtId="0" fontId="2" fillId="2" borderId="9" xfId="1" applyFill="1" applyBorder="1" applyAlignment="1">
      <alignment horizontal="left" vertical="top"/>
      <protection locked="0"/>
    </xf>
    <xf numFmtId="0" fontId="17" fillId="0" borderId="0" xfId="3" applyFont="1" applyFill="1" applyAlignment="1" applyProtection="1">
      <alignment horizontal="center" vertical="center"/>
      <protection locked="0"/>
    </xf>
    <xf numFmtId="165" fontId="5" fillId="0" borderId="7" xfId="2" applyNumberFormat="1" applyFont="1" applyFill="1" applyBorder="1" applyAlignment="1">
      <alignment horizontal="right"/>
      <protection locked="0"/>
    </xf>
    <xf numFmtId="0" fontId="5" fillId="0" borderId="7" xfId="2" applyFont="1" applyFill="1" applyBorder="1" applyAlignment="1">
      <alignment horizontal="left" wrapText="1"/>
      <protection locked="0"/>
    </xf>
    <xf numFmtId="0" fontId="5" fillId="0" borderId="7" xfId="1" applyFont="1" applyFill="1" applyBorder="1" applyAlignment="1">
      <alignment horizontal="left" wrapText="1"/>
      <protection locked="0"/>
    </xf>
    <xf numFmtId="2" fontId="5" fillId="0" borderId="7" xfId="1" applyNumberFormat="1" applyFont="1" applyFill="1" applyBorder="1" applyAlignment="1">
      <alignment horizontal="right"/>
      <protection locked="0"/>
    </xf>
    <xf numFmtId="166" fontId="5" fillId="0" borderId="7" xfId="1" applyNumberFormat="1" applyFont="1" applyFill="1" applyBorder="1" applyAlignment="1">
      <alignment horizontal="right"/>
      <protection locked="0"/>
    </xf>
    <xf numFmtId="0" fontId="6" fillId="0" borderId="7" xfId="2" applyFill="1" applyBorder="1" applyAlignment="1">
      <alignment horizontal="left" vertical="top"/>
      <protection locked="0"/>
    </xf>
    <xf numFmtId="165" fontId="9" fillId="0" borderId="7" xfId="2" applyNumberFormat="1" applyFont="1" applyFill="1" applyBorder="1" applyAlignment="1" applyProtection="1">
      <alignment horizontal="right"/>
      <protection locked="0"/>
    </xf>
    <xf numFmtId="49" fontId="9" fillId="0" borderId="7" xfId="2" applyNumberFormat="1" applyFont="1" applyFill="1" applyBorder="1" applyAlignment="1" applyProtection="1">
      <alignment horizontal="left" wrapText="1"/>
      <protection locked="0"/>
    </xf>
    <xf numFmtId="0" fontId="9" fillId="0" borderId="7" xfId="2" applyFont="1" applyFill="1" applyBorder="1" applyAlignment="1" applyProtection="1">
      <alignment horizontal="left" wrapText="1"/>
      <protection locked="0"/>
    </xf>
    <xf numFmtId="2" fontId="9" fillId="0" borderId="7" xfId="2" applyNumberFormat="1" applyFont="1" applyFill="1" applyBorder="1" applyAlignment="1" applyProtection="1">
      <protection locked="0"/>
    </xf>
    <xf numFmtId="166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center"/>
      <protection locked="0"/>
    </xf>
    <xf numFmtId="0" fontId="6" fillId="0" borderId="0" xfId="2" applyFill="1" applyAlignment="1" applyProtection="1">
      <alignment horizontal="left" vertical="top"/>
      <protection locked="0"/>
    </xf>
    <xf numFmtId="165" fontId="5" fillId="0" borderId="7" xfId="2" applyNumberFormat="1" applyFont="1" applyFill="1" applyBorder="1" applyAlignment="1" applyProtection="1">
      <alignment horizontal="right"/>
      <protection locked="0"/>
    </xf>
    <xf numFmtId="0" fontId="5" fillId="0" borderId="7" xfId="2" applyFont="1" applyFill="1" applyBorder="1" applyAlignment="1" applyProtection="1">
      <alignment horizontal="left" wrapText="1"/>
      <protection locked="0"/>
    </xf>
    <xf numFmtId="0" fontId="20" fillId="0" borderId="7" xfId="2" applyFont="1" applyFill="1" applyBorder="1" applyAlignment="1" applyProtection="1">
      <alignment horizontal="left" wrapText="1"/>
      <protection locked="0"/>
    </xf>
    <xf numFmtId="2" fontId="20" fillId="0" borderId="7" xfId="2" applyNumberFormat="1" applyFont="1" applyFill="1" applyBorder="1" applyAlignment="1" applyProtection="1">
      <alignment horizontal="right"/>
      <protection locked="0"/>
    </xf>
    <xf numFmtId="166" fontId="5" fillId="0" borderId="7" xfId="2" applyNumberFormat="1" applyFont="1" applyFill="1" applyBorder="1" applyAlignment="1" applyProtection="1">
      <alignment horizontal="right"/>
      <protection locked="0"/>
    </xf>
    <xf numFmtId="0" fontId="6" fillId="0" borderId="7" xfId="2" applyFill="1" applyBorder="1" applyAlignment="1" applyProtection="1">
      <alignment vertical="top"/>
      <protection locked="0"/>
    </xf>
    <xf numFmtId="2" fontId="5" fillId="0" borderId="7" xfId="3" applyNumberFormat="1" applyFont="1" applyFill="1" applyBorder="1" applyAlignment="1">
      <alignment horizontal="right"/>
      <protection locked="0"/>
    </xf>
    <xf numFmtId="166" fontId="5" fillId="0" borderId="7" xfId="3" applyNumberFormat="1" applyFont="1" applyFill="1" applyBorder="1" applyAlignment="1">
      <alignment horizontal="right"/>
      <protection locked="0"/>
    </xf>
    <xf numFmtId="0" fontId="7" fillId="0" borderId="7" xfId="3" applyFill="1" applyBorder="1" applyAlignment="1">
      <alignment horizontal="left" vertical="top"/>
      <protection locked="0"/>
    </xf>
    <xf numFmtId="0" fontId="22" fillId="0" borderId="0" xfId="3" applyFont="1" applyFill="1" applyAlignment="1">
      <alignment horizontal="left" vertical="center"/>
      <protection locked="0"/>
    </xf>
    <xf numFmtId="165" fontId="9" fillId="0" borderId="7" xfId="3" applyNumberFormat="1" applyFont="1" applyFill="1" applyBorder="1" applyAlignment="1" applyProtection="1">
      <alignment horizontal="right"/>
      <protection locked="0"/>
    </xf>
    <xf numFmtId="49" fontId="9" fillId="0" borderId="7" xfId="3" applyNumberFormat="1" applyFont="1" applyFill="1" applyBorder="1" applyAlignment="1" applyProtection="1">
      <alignment horizontal="left" wrapText="1"/>
      <protection locked="0"/>
    </xf>
    <xf numFmtId="0" fontId="9" fillId="0" borderId="7" xfId="5" applyNumberFormat="1" applyFont="1" applyFill="1" applyBorder="1" applyAlignment="1">
      <alignment horizontal="left"/>
    </xf>
    <xf numFmtId="0" fontId="9" fillId="0" borderId="7" xfId="3" applyFont="1" applyFill="1" applyBorder="1" applyAlignment="1" applyProtection="1">
      <alignment horizontal="left" wrapText="1"/>
      <protection locked="0"/>
    </xf>
    <xf numFmtId="2" fontId="9" fillId="0" borderId="7" xfId="3" applyNumberFormat="1" applyFont="1" applyFill="1" applyBorder="1" applyAlignment="1" applyProtection="1">
      <alignment horizontal="right"/>
      <protection locked="0"/>
    </xf>
    <xf numFmtId="168" fontId="9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right"/>
      <protection locked="0"/>
    </xf>
    <xf numFmtId="0" fontId="7" fillId="0" borderId="0" xfId="3" applyFill="1" applyAlignment="1" applyProtection="1">
      <alignment vertical="top"/>
      <protection locked="0"/>
    </xf>
    <xf numFmtId="0" fontId="24" fillId="0" borderId="7" xfId="3" applyFont="1" applyFill="1" applyBorder="1" applyAlignment="1" applyProtection="1">
      <alignment horizontal="left" wrapText="1"/>
      <protection locked="0"/>
    </xf>
    <xf numFmtId="0" fontId="7" fillId="0" borderId="0" xfId="3" applyFont="1" applyFill="1" applyAlignment="1" applyProtection="1">
      <alignment vertical="top"/>
      <protection locked="0"/>
    </xf>
    <xf numFmtId="2" fontId="20" fillId="0" borderId="7" xfId="3" applyNumberFormat="1" applyFont="1" applyFill="1" applyBorder="1" applyAlignment="1" applyProtection="1">
      <alignment horizontal="right" wrapText="1"/>
      <protection locked="0"/>
    </xf>
    <xf numFmtId="165" fontId="26" fillId="0" borderId="7" xfId="3" applyNumberFormat="1" applyFont="1" applyFill="1" applyBorder="1" applyAlignment="1">
      <alignment horizontal="right"/>
      <protection locked="0"/>
    </xf>
    <xf numFmtId="0" fontId="26" fillId="0" borderId="7" xfId="3" applyFont="1" applyFill="1" applyBorder="1" applyAlignment="1">
      <alignment horizontal="left" wrapText="1"/>
      <protection locked="0"/>
    </xf>
    <xf numFmtId="0" fontId="24" fillId="0" borderId="7" xfId="3" applyFont="1" applyFill="1" applyBorder="1" applyAlignment="1">
      <alignment horizontal="left" wrapText="1"/>
      <protection locked="0"/>
    </xf>
    <xf numFmtId="166" fontId="26" fillId="0" borderId="7" xfId="3" applyNumberFormat="1" applyFont="1" applyFill="1" applyBorder="1" applyAlignment="1">
      <alignment horizontal="right"/>
      <protection locked="0"/>
    </xf>
    <xf numFmtId="166" fontId="9" fillId="0" borderId="7" xfId="3" applyNumberFormat="1" applyFont="1" applyFill="1" applyBorder="1" applyAlignment="1">
      <alignment horizontal="right"/>
      <protection locked="0"/>
    </xf>
    <xf numFmtId="2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2" applyNumberFormat="1" applyFont="1" applyFill="1" applyBorder="1" applyAlignment="1" applyProtection="1">
      <alignment horizontal="center"/>
      <protection locked="0"/>
    </xf>
    <xf numFmtId="0" fontId="24" fillId="0" borderId="7" xfId="2" applyFont="1" applyFill="1" applyBorder="1" applyAlignment="1">
      <alignment horizontal="left" wrapText="1"/>
      <protection locked="0"/>
    </xf>
    <xf numFmtId="2" fontId="24" fillId="0" borderId="7" xfId="2" applyNumberFormat="1" applyFont="1" applyFill="1" applyBorder="1" applyAlignment="1" applyProtection="1">
      <alignment horizontal="right" wrapText="1"/>
      <protection locked="0"/>
    </xf>
    <xf numFmtId="0" fontId="9" fillId="0" borderId="7" xfId="3" applyNumberFormat="1" applyFont="1" applyFill="1" applyBorder="1" applyAlignment="1" applyProtection="1">
      <alignment horizontal="left"/>
    </xf>
    <xf numFmtId="0" fontId="9" fillId="0" borderId="7" xfId="3" applyNumberFormat="1" applyFont="1" applyFill="1" applyBorder="1" applyAlignment="1" applyProtection="1">
      <alignment horizontal="left" wrapText="1"/>
    </xf>
    <xf numFmtId="0" fontId="9" fillId="0" borderId="7" xfId="3" applyFont="1" applyFill="1" applyBorder="1" applyAlignment="1" applyProtection="1">
      <alignment horizontal="left" shrinkToFit="1"/>
    </xf>
    <xf numFmtId="0" fontId="9" fillId="0" borderId="7" xfId="2" applyNumberFormat="1" applyFont="1" applyFill="1" applyBorder="1" applyAlignment="1" applyProtection="1">
      <alignment horizontal="left" wrapText="1"/>
    </xf>
    <xf numFmtId="168" fontId="9" fillId="0" borderId="7" xfId="2" applyNumberFormat="1" applyFont="1" applyFill="1" applyBorder="1" applyAlignment="1" applyProtection="1">
      <alignment horizontal="right"/>
      <protection locked="0"/>
    </xf>
    <xf numFmtId="0" fontId="6" fillId="0" borderId="0" xfId="2" applyFill="1" applyAlignment="1" applyProtection="1"/>
    <xf numFmtId="0" fontId="6" fillId="0" borderId="7" xfId="2" applyFill="1" applyBorder="1" applyAlignment="1" applyProtection="1">
      <alignment horizontal="left" vertical="top"/>
      <protection locked="0"/>
    </xf>
    <xf numFmtId="0" fontId="24" fillId="0" borderId="7" xfId="2" applyFont="1" applyFill="1" applyBorder="1" applyAlignment="1" applyProtection="1">
      <alignment horizontal="left" wrapText="1"/>
      <protection locked="0"/>
    </xf>
    <xf numFmtId="165" fontId="26" fillId="0" borderId="7" xfId="2" applyNumberFormat="1" applyFont="1" applyFill="1" applyBorder="1" applyAlignment="1" applyProtection="1">
      <alignment horizontal="right"/>
      <protection locked="0"/>
    </xf>
    <xf numFmtId="49" fontId="26" fillId="0" borderId="7" xfId="2" applyNumberFormat="1" applyFont="1" applyFill="1" applyBorder="1" applyAlignment="1" applyProtection="1">
      <alignment horizontal="left" wrapText="1"/>
      <protection locked="0"/>
    </xf>
    <xf numFmtId="0" fontId="26" fillId="0" borderId="7" xfId="2" applyFont="1" applyFill="1" applyBorder="1" applyAlignment="1" applyProtection="1">
      <alignment horizontal="left" wrapText="1"/>
      <protection locked="0"/>
    </xf>
    <xf numFmtId="0" fontId="7" fillId="0" borderId="0" xfId="7" applyFont="1" applyFill="1" applyAlignment="1" applyProtection="1">
      <alignment horizontal="left" vertical="top"/>
      <protection locked="0"/>
    </xf>
    <xf numFmtId="0" fontId="20" fillId="0" borderId="7" xfId="3" applyFont="1" applyFill="1" applyBorder="1" applyAlignment="1" applyProtection="1">
      <alignment horizontal="left" wrapText="1"/>
      <protection locked="0"/>
    </xf>
    <xf numFmtId="49" fontId="9" fillId="0" borderId="7" xfId="8" applyNumberFormat="1" applyFont="1" applyFill="1" applyBorder="1" applyAlignment="1" applyProtection="1">
      <alignment horizontal="left" wrapText="1"/>
      <protection locked="0"/>
    </xf>
    <xf numFmtId="0" fontId="20" fillId="0" borderId="7" xfId="8" applyFont="1" applyFill="1" applyBorder="1" applyAlignment="1">
      <alignment horizontal="left" wrapText="1"/>
      <protection locked="0"/>
    </xf>
    <xf numFmtId="2" fontId="20" fillId="0" borderId="7" xfId="8" applyNumberFormat="1" applyFont="1" applyFill="1" applyBorder="1" applyAlignment="1">
      <alignment horizontal="right"/>
      <protection locked="0"/>
    </xf>
    <xf numFmtId="0" fontId="28" fillId="0" borderId="0" xfId="3" applyFont="1" applyFill="1" applyAlignment="1" applyProtection="1">
      <alignment horizontal="left" vertical="center"/>
      <protection locked="0"/>
    </xf>
    <xf numFmtId="4" fontId="9" fillId="0" borderId="7" xfId="3" applyNumberFormat="1" applyFont="1" applyFill="1" applyBorder="1" applyAlignment="1" applyProtection="1">
      <alignment shrinkToFit="1"/>
    </xf>
    <xf numFmtId="4" fontId="9" fillId="0" borderId="7" xfId="3" applyNumberFormat="1" applyFont="1" applyFill="1" applyBorder="1" applyAlignment="1" applyProtection="1">
      <alignment shrinkToFit="1"/>
      <protection locked="0"/>
    </xf>
    <xf numFmtId="49" fontId="9" fillId="0" borderId="7" xfId="8" applyNumberFormat="1" applyFont="1" applyFill="1" applyBorder="1" applyAlignment="1" applyProtection="1">
      <alignment horizontal="right" wrapText="1"/>
      <protection locked="0"/>
    </xf>
    <xf numFmtId="0" fontId="9" fillId="0" borderId="7" xfId="8" applyFont="1" applyFill="1" applyBorder="1" applyAlignment="1">
      <alignment horizontal="left" wrapText="1"/>
      <protection locked="0"/>
    </xf>
    <xf numFmtId="0" fontId="9" fillId="0" borderId="7" xfId="8" applyFont="1" applyFill="1" applyBorder="1" applyAlignment="1" applyProtection="1">
      <alignment horizontal="left" wrapText="1"/>
      <protection locked="0"/>
    </xf>
    <xf numFmtId="2" fontId="9" fillId="0" borderId="7" xfId="8" applyNumberFormat="1" applyFont="1" applyFill="1" applyBorder="1" applyAlignment="1" applyProtection="1">
      <alignment horizontal="right"/>
      <protection locked="0"/>
    </xf>
    <xf numFmtId="166" fontId="9" fillId="0" borderId="7" xfId="8" applyNumberFormat="1" applyFont="1" applyFill="1" applyBorder="1" applyAlignment="1" applyProtection="1">
      <alignment horizontal="right"/>
      <protection locked="0"/>
    </xf>
    <xf numFmtId="166" fontId="32" fillId="0" borderId="0" xfId="8" applyNumberFormat="1" applyFont="1" applyFill="1" applyBorder="1" applyAlignment="1">
      <alignment horizontal="left" vertical="center"/>
      <protection locked="0"/>
    </xf>
    <xf numFmtId="0" fontId="2" fillId="0" borderId="0" xfId="8" applyFill="1" applyAlignment="1">
      <alignment horizontal="left" vertical="top"/>
      <protection locked="0"/>
    </xf>
    <xf numFmtId="0" fontId="2" fillId="0" borderId="0" xfId="8" applyAlignment="1">
      <alignment horizontal="left" vertical="top"/>
      <protection locked="0"/>
    </xf>
    <xf numFmtId="165" fontId="9" fillId="0" borderId="7" xfId="8" applyNumberFormat="1" applyFont="1" applyFill="1" applyBorder="1" applyAlignment="1">
      <alignment horizontal="right"/>
      <protection locked="0"/>
    </xf>
    <xf numFmtId="166" fontId="9" fillId="0" borderId="7" xfId="8" applyNumberFormat="1" applyFont="1" applyFill="1" applyBorder="1" applyAlignment="1">
      <alignment horizontal="right"/>
      <protection locked="0"/>
    </xf>
    <xf numFmtId="166" fontId="9" fillId="0" borderId="7" xfId="8" applyNumberFormat="1" applyFont="1" applyFill="1" applyBorder="1" applyAlignment="1">
      <alignment horizontal="center"/>
      <protection locked="0"/>
    </xf>
    <xf numFmtId="168" fontId="9" fillId="2" borderId="7" xfId="2" applyNumberFormat="1" applyFont="1" applyFill="1" applyBorder="1" applyAlignment="1" applyProtection="1">
      <alignment horizontal="right"/>
      <protection locked="0"/>
    </xf>
    <xf numFmtId="166" fontId="9" fillId="2" borderId="7" xfId="2" applyNumberFormat="1" applyFont="1" applyFill="1" applyBorder="1" applyAlignment="1" applyProtection="1">
      <alignment horizontal="center"/>
      <protection locked="0"/>
    </xf>
    <xf numFmtId="166" fontId="26" fillId="2" borderId="7" xfId="2" applyNumberFormat="1" applyFont="1" applyFill="1" applyBorder="1" applyAlignment="1" applyProtection="1">
      <alignment horizontal="right"/>
      <protection locked="0"/>
    </xf>
    <xf numFmtId="0" fontId="6" fillId="0" borderId="0" xfId="2" applyAlignment="1">
      <alignment vertical="top"/>
      <protection locked="0"/>
    </xf>
    <xf numFmtId="0" fontId="2" fillId="0" borderId="7" xfId="2" applyFont="1" applyFill="1" applyBorder="1" applyAlignment="1" applyProtection="1">
      <alignment horizontal="center" vertical="center"/>
      <protection locked="0"/>
    </xf>
    <xf numFmtId="0" fontId="2" fillId="0" borderId="0" xfId="1" applyFill="1" applyAlignment="1">
      <alignment horizontal="left" vertical="center"/>
      <protection locked="0"/>
    </xf>
    <xf numFmtId="165" fontId="20" fillId="0" borderId="7" xfId="2" applyNumberFormat="1" applyFont="1" applyFill="1" applyBorder="1" applyAlignment="1" applyProtection="1">
      <alignment horizontal="right"/>
      <protection locked="0"/>
    </xf>
    <xf numFmtId="2" fontId="20" fillId="3" borderId="7" xfId="2" applyNumberFormat="1" applyFont="1" applyFill="1" applyBorder="1" applyAlignment="1" applyProtection="1">
      <alignment horizontal="right"/>
      <protection locked="0"/>
    </xf>
    <xf numFmtId="166" fontId="20" fillId="0" borderId="7" xfId="2" applyNumberFormat="1" applyFont="1" applyFill="1" applyBorder="1" applyAlignment="1" applyProtection="1">
      <alignment horizontal="right"/>
      <protection locked="0"/>
    </xf>
    <xf numFmtId="0" fontId="7" fillId="0" borderId="7" xfId="2" applyFont="1" applyFill="1" applyBorder="1" applyAlignment="1" applyProtection="1">
      <alignment horizontal="left" vertical="top"/>
      <protection locked="0"/>
    </xf>
    <xf numFmtId="166" fontId="26" fillId="0" borderId="7" xfId="2" applyNumberFormat="1" applyFont="1" applyFill="1" applyBorder="1" applyAlignment="1" applyProtection="1">
      <alignment horizontal="right"/>
      <protection locked="0"/>
    </xf>
    <xf numFmtId="0" fontId="7" fillId="4" borderId="7" xfId="2" applyFont="1" applyFill="1" applyBorder="1" applyAlignment="1" applyProtection="1">
      <alignment horizontal="left" vertical="top"/>
      <protection locked="0"/>
    </xf>
    <xf numFmtId="165" fontId="5" fillId="0" borderId="7" xfId="3" applyNumberFormat="1" applyFont="1" applyFill="1" applyBorder="1" applyAlignment="1" applyProtection="1">
      <alignment horizontal="right"/>
      <protection locked="0"/>
    </xf>
    <xf numFmtId="0" fontId="5" fillId="0" borderId="7" xfId="3" applyFont="1" applyFill="1" applyBorder="1" applyAlignment="1" applyProtection="1">
      <alignment horizontal="left" wrapText="1"/>
      <protection locked="0"/>
    </xf>
    <xf numFmtId="2" fontId="5" fillId="0" borderId="7" xfId="3" applyNumberFormat="1" applyFont="1" applyFill="1" applyBorder="1" applyAlignment="1" applyProtection="1">
      <alignment horizontal="right"/>
      <protection locked="0"/>
    </xf>
    <xf numFmtId="166" fontId="5" fillId="0" borderId="7" xfId="3" applyNumberFormat="1" applyFont="1" applyFill="1" applyBorder="1" applyAlignment="1" applyProtection="1">
      <alignment horizontal="right"/>
      <protection locked="0"/>
    </xf>
    <xf numFmtId="0" fontId="7" fillId="0" borderId="7" xfId="3" applyFill="1" applyBorder="1" applyAlignment="1" applyProtection="1">
      <alignment horizontal="left" vertical="top"/>
      <protection locked="0"/>
    </xf>
    <xf numFmtId="0" fontId="27" fillId="0" borderId="0" xfId="3" applyFont="1" applyFill="1" applyAlignment="1" applyProtection="1">
      <alignment horizontal="left" vertical="center"/>
      <protection locked="0"/>
    </xf>
    <xf numFmtId="2" fontId="7" fillId="0" borderId="0" xfId="3" applyNumberFormat="1" applyFill="1" applyAlignment="1" applyProtection="1">
      <alignment horizontal="left" vertical="top"/>
      <protection locked="0"/>
    </xf>
    <xf numFmtId="0" fontId="33" fillId="0" borderId="7" xfId="3" applyFont="1" applyFill="1" applyBorder="1" applyAlignment="1" applyProtection="1">
      <alignment horizontal="left" wrapText="1"/>
      <protection locked="0"/>
    </xf>
    <xf numFmtId="2" fontId="20" fillId="0" borderId="7" xfId="3" applyNumberFormat="1" applyFont="1" applyFill="1" applyBorder="1" applyAlignment="1" applyProtection="1">
      <protection locked="0"/>
    </xf>
    <xf numFmtId="166" fontId="33" fillId="0" borderId="7" xfId="3" applyNumberFormat="1" applyFont="1" applyFill="1" applyBorder="1" applyAlignment="1" applyProtection="1">
      <alignment horizontal="right"/>
      <protection locked="0"/>
    </xf>
    <xf numFmtId="166" fontId="33" fillId="0" borderId="7" xfId="3" applyNumberFormat="1" applyFont="1" applyFill="1" applyBorder="1" applyAlignment="1" applyProtection="1">
      <alignment horizontal="center"/>
      <protection locked="0"/>
    </xf>
    <xf numFmtId="167" fontId="5" fillId="0" borderId="7" xfId="3" applyNumberFormat="1" applyFont="1" applyFill="1" applyBorder="1" applyAlignment="1" applyProtection="1">
      <alignment horizontal="right"/>
      <protection locked="0"/>
    </xf>
    <xf numFmtId="2" fontId="5" fillId="0" borderId="7" xfId="2" applyNumberFormat="1" applyFont="1" applyFill="1" applyBorder="1" applyAlignment="1" applyProtection="1">
      <alignment horizontal="right"/>
      <protection locked="0"/>
    </xf>
    <xf numFmtId="2" fontId="20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9" applyNumberFormat="1" applyFont="1" applyFill="1" applyBorder="1" applyAlignment="1" applyProtection="1">
      <alignment horizontal="center"/>
      <protection locked="0"/>
    </xf>
    <xf numFmtId="169" fontId="9" fillId="0" borderId="7" xfId="2" applyNumberFormat="1" applyFont="1" applyFill="1" applyBorder="1" applyAlignment="1" applyProtection="1">
      <alignment horizontal="right"/>
      <protection locked="0"/>
    </xf>
    <xf numFmtId="2" fontId="26" fillId="0" borderId="7" xfId="2" applyNumberFormat="1" applyFont="1" applyFill="1" applyBorder="1" applyAlignment="1" applyProtection="1">
      <alignment horizontal="right" wrapText="1"/>
      <protection locked="0"/>
    </xf>
    <xf numFmtId="166" fontId="34" fillId="0" borderId="7" xfId="2" applyNumberFormat="1" applyFont="1" applyFill="1" applyBorder="1" applyAlignment="1" applyProtection="1">
      <alignment horizontal="right"/>
      <protection locked="0"/>
    </xf>
    <xf numFmtId="0" fontId="35" fillId="0" borderId="7" xfId="2" applyFont="1" applyFill="1" applyBorder="1" applyAlignment="1" applyProtection="1">
      <alignment horizontal="left" vertical="top"/>
      <protection locked="0"/>
    </xf>
    <xf numFmtId="2" fontId="24" fillId="0" borderId="7" xfId="2" applyNumberFormat="1" applyFont="1" applyFill="1" applyBorder="1" applyAlignment="1">
      <alignment horizontal="right"/>
      <protection locked="0"/>
    </xf>
    <xf numFmtId="165" fontId="36" fillId="0" borderId="0" xfId="3" applyNumberFormat="1" applyFont="1" applyAlignment="1" applyProtection="1">
      <alignment horizontal="right"/>
      <protection locked="0"/>
    </xf>
    <xf numFmtId="0" fontId="36" fillId="0" borderId="0" xfId="3" applyFont="1" applyAlignment="1" applyProtection="1">
      <alignment horizontal="left" wrapText="1"/>
      <protection locked="0"/>
    </xf>
    <xf numFmtId="167" fontId="36" fillId="0" borderId="0" xfId="3" applyNumberFormat="1" applyFont="1" applyAlignment="1" applyProtection="1">
      <alignment horizontal="right"/>
      <protection locked="0"/>
    </xf>
    <xf numFmtId="166" fontId="36" fillId="0" borderId="0" xfId="3" applyNumberFormat="1" applyFont="1" applyFill="1" applyAlignment="1" applyProtection="1">
      <alignment horizontal="right"/>
      <protection locked="0"/>
    </xf>
    <xf numFmtId="166" fontId="36" fillId="0" borderId="0" xfId="3" applyNumberFormat="1" applyFont="1" applyAlignment="1" applyProtection="1">
      <alignment horizontal="right"/>
      <protection locked="0"/>
    </xf>
    <xf numFmtId="165" fontId="7" fillId="0" borderId="0" xfId="3" applyNumberFormat="1" applyAlignment="1" applyProtection="1">
      <alignment horizontal="right" vertical="top"/>
      <protection locked="0"/>
    </xf>
    <xf numFmtId="0" fontId="7" fillId="0" borderId="0" xfId="3" applyAlignment="1" applyProtection="1">
      <alignment horizontal="left" vertical="top" wrapText="1"/>
      <protection locked="0"/>
    </xf>
    <xf numFmtId="167" fontId="7" fillId="0" borderId="0" xfId="3" applyNumberFormat="1" applyAlignment="1" applyProtection="1">
      <alignment horizontal="right" vertical="top"/>
      <protection locked="0"/>
    </xf>
    <xf numFmtId="166" fontId="7" fillId="0" borderId="0" xfId="3" applyNumberFormat="1" applyFill="1" applyAlignment="1" applyProtection="1">
      <alignment horizontal="right" vertical="top"/>
      <protection locked="0"/>
    </xf>
    <xf numFmtId="166" fontId="7" fillId="0" borderId="0" xfId="3" applyNumberFormat="1" applyAlignment="1" applyProtection="1">
      <alignment horizontal="right" vertical="top"/>
      <protection locked="0"/>
    </xf>
    <xf numFmtId="0" fontId="1" fillId="0" borderId="0" xfId="3" applyFont="1" applyAlignment="1" applyProtection="1">
      <alignment horizontal="left" vertical="top"/>
      <protection locked="0"/>
    </xf>
    <xf numFmtId="0" fontId="1" fillId="0" borderId="0" xfId="3" applyFont="1" applyFill="1" applyAlignment="1" applyProtection="1">
      <alignment horizontal="left" vertical="top"/>
      <protection locked="0"/>
    </xf>
    <xf numFmtId="0" fontId="5" fillId="0" borderId="10" xfId="3" applyFont="1" applyBorder="1" applyAlignment="1" applyProtection="1">
      <alignment horizontal="left"/>
      <protection locked="0"/>
    </xf>
    <xf numFmtId="0" fontId="26" fillId="0" borderId="11" xfId="3" applyFont="1" applyBorder="1" applyAlignment="1" applyProtection="1">
      <alignment horizontal="center"/>
      <protection locked="0"/>
    </xf>
    <xf numFmtId="167" fontId="26" fillId="0" borderId="11" xfId="3" applyNumberFormat="1" applyFont="1" applyBorder="1" applyAlignment="1" applyProtection="1">
      <alignment horizontal="right"/>
      <protection locked="0"/>
    </xf>
    <xf numFmtId="166" fontId="26" fillId="0" borderId="13" xfId="3" applyNumberFormat="1" applyFont="1" applyFill="1" applyBorder="1" applyAlignment="1" applyProtection="1">
      <alignment horizontal="right"/>
      <protection locked="0"/>
    </xf>
    <xf numFmtId="166" fontId="5" fillId="0" borderId="8" xfId="3" applyNumberFormat="1" applyFont="1" applyBorder="1" applyAlignment="1" applyProtection="1">
      <alignment horizontal="right"/>
      <protection locked="0"/>
    </xf>
    <xf numFmtId="166" fontId="7" fillId="0" borderId="0" xfId="3" applyNumberFormat="1" applyFill="1" applyAlignment="1" applyProtection="1">
      <alignment horizontal="left" vertical="top"/>
      <protection locked="0"/>
    </xf>
    <xf numFmtId="4" fontId="7" fillId="0" borderId="0" xfId="3" applyNumberFormat="1" applyFill="1" applyAlignment="1" applyProtection="1">
      <alignment horizontal="right" vertical="top"/>
      <protection locked="0"/>
    </xf>
    <xf numFmtId="4" fontId="7" fillId="0" borderId="0" xfId="3" applyNumberFormat="1" applyFill="1" applyAlignment="1" applyProtection="1">
      <alignment horizontal="left" vertical="top"/>
      <protection locked="0"/>
    </xf>
    <xf numFmtId="165" fontId="26" fillId="0" borderId="0" xfId="3" applyNumberFormat="1" applyFont="1" applyBorder="1" applyAlignment="1" applyProtection="1">
      <alignment horizontal="right"/>
      <protection locked="0"/>
    </xf>
    <xf numFmtId="0" fontId="26" fillId="0" borderId="0" xfId="3" applyFont="1" applyBorder="1" applyAlignment="1" applyProtection="1">
      <alignment horizontal="left" wrapText="1"/>
      <protection locked="0"/>
    </xf>
    <xf numFmtId="0" fontId="9" fillId="0" borderId="0" xfId="3" applyFont="1" applyBorder="1" applyAlignment="1" applyProtection="1">
      <alignment horizontal="left" wrapText="1"/>
      <protection locked="0"/>
    </xf>
    <xf numFmtId="0" fontId="26" fillId="0" borderId="0" xfId="3" applyFont="1" applyBorder="1" applyAlignment="1" applyProtection="1">
      <alignment horizontal="center" wrapText="1"/>
      <protection locked="0"/>
    </xf>
    <xf numFmtId="167" fontId="26" fillId="0" borderId="0" xfId="3" applyNumberFormat="1" applyFont="1" applyBorder="1" applyAlignment="1" applyProtection="1">
      <alignment horizontal="right"/>
      <protection locked="0"/>
    </xf>
    <xf numFmtId="166" fontId="26" fillId="0" borderId="0" xfId="3" applyNumberFormat="1" applyFont="1" applyFill="1" applyBorder="1" applyAlignment="1" applyProtection="1">
      <alignment horizontal="right"/>
      <protection locked="0"/>
    </xf>
    <xf numFmtId="166" fontId="9" fillId="0" borderId="0" xfId="3" applyNumberFormat="1" applyFont="1" applyBorder="1" applyAlignment="1" applyProtection="1">
      <alignment horizontal="right"/>
      <protection locked="0"/>
    </xf>
    <xf numFmtId="0" fontId="37" fillId="0" borderId="0" xfId="10" applyFont="1" applyAlignment="1">
      <alignment vertical="center"/>
    </xf>
    <xf numFmtId="0" fontId="37" fillId="0" borderId="0" xfId="10" applyFont="1" applyFill="1" applyAlignment="1">
      <alignment vertical="center"/>
    </xf>
    <xf numFmtId="0" fontId="37" fillId="0" borderId="0" xfId="10" applyFont="1" applyAlignment="1">
      <alignment horizontal="center" vertical="center" wrapText="1"/>
    </xf>
    <xf numFmtId="0" fontId="37" fillId="0" borderId="0" xfId="10" applyFont="1" applyBorder="1" applyAlignment="1">
      <alignment horizontal="center" vertical="center" wrapText="1"/>
    </xf>
    <xf numFmtId="0" fontId="7" fillId="0" borderId="0" xfId="3" applyAlignment="1" applyProtection="1">
      <alignment vertical="top"/>
      <protection locked="0"/>
    </xf>
    <xf numFmtId="168" fontId="7" fillId="0" borderId="0" xfId="3" applyNumberFormat="1" applyFill="1" applyAlignment="1" applyProtection="1">
      <alignment vertical="top"/>
      <protection locked="0"/>
    </xf>
    <xf numFmtId="0" fontId="2" fillId="0" borderId="0" xfId="3" applyFont="1" applyFill="1" applyAlignment="1">
      <alignment vertical="center" wrapText="1"/>
      <protection locked="0"/>
    </xf>
    <xf numFmtId="0" fontId="37" fillId="0" borderId="0" xfId="10" applyFont="1" applyFill="1" applyAlignment="1">
      <alignment horizontal="center" vertical="center" wrapText="1"/>
    </xf>
    <xf numFmtId="0" fontId="37" fillId="0" borderId="0" xfId="10" applyFont="1" applyFill="1" applyBorder="1" applyAlignment="1">
      <alignment horizontal="center" vertical="center" wrapText="1"/>
    </xf>
    <xf numFmtId="0" fontId="7" fillId="0" borderId="0" xfId="3" applyFill="1" applyAlignment="1">
      <alignment vertical="top"/>
      <protection locked="0"/>
    </xf>
    <xf numFmtId="0" fontId="7" fillId="0" borderId="0" xfId="3" applyAlignment="1">
      <alignment vertical="top"/>
      <protection locked="0"/>
    </xf>
    <xf numFmtId="167" fontId="2" fillId="0" borderId="0" xfId="1" applyNumberFormat="1" applyFill="1" applyAlignment="1">
      <alignment horizontal="right" vertical="top"/>
      <protection locked="0"/>
    </xf>
    <xf numFmtId="166" fontId="2" fillId="0" borderId="0" xfId="1" applyNumberFormat="1" applyFill="1" applyAlignment="1">
      <alignment horizontal="right" vertical="top"/>
      <protection locked="0"/>
    </xf>
    <xf numFmtId="0" fontId="2" fillId="0" borderId="0" xfId="1" applyFont="1" applyFill="1" applyAlignment="1">
      <alignment horizontal="left"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21" fillId="0" borderId="0" xfId="0" applyFont="1" applyFill="1" applyAlignment="1" applyProtection="1">
      <alignment horizontal="left" vertical="center"/>
      <protection locked="0"/>
    </xf>
    <xf numFmtId="2" fontId="27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17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top"/>
      <protection locked="0"/>
    </xf>
    <xf numFmtId="0" fontId="25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166" fontId="9" fillId="0" borderId="7" xfId="0" applyNumberFormat="1" applyFont="1" applyFill="1" applyBorder="1" applyAlignment="1" applyProtection="1">
      <alignment horizontal="center"/>
      <protection locked="0"/>
    </xf>
    <xf numFmtId="0" fontId="5" fillId="0" borderId="7" xfId="0" applyFont="1" applyFill="1" applyBorder="1" applyAlignment="1" applyProtection="1">
      <alignment horizontal="left" wrapText="1"/>
      <protection locked="0"/>
    </xf>
    <xf numFmtId="0" fontId="38" fillId="0" borderId="0" xfId="0" applyFont="1" applyFill="1" applyAlignment="1" applyProtection="1">
      <alignment vertical="center"/>
    </xf>
    <xf numFmtId="0" fontId="39" fillId="0" borderId="0" xfId="0" applyFont="1" applyFill="1" applyAlignment="1" applyProtection="1">
      <alignment horizontal="left" vertical="top"/>
      <protection locked="0"/>
    </xf>
    <xf numFmtId="0" fontId="7" fillId="0" borderId="0" xfId="3" applyFill="1" applyAlignment="1" applyProtection="1">
      <alignment horizontal="left" wrapText="1"/>
      <protection locked="0"/>
    </xf>
    <xf numFmtId="0" fontId="37" fillId="0" borderId="0" xfId="10" applyFont="1" applyFill="1" applyAlignment="1">
      <alignment vertical="center" wrapText="1"/>
    </xf>
    <xf numFmtId="0" fontId="11" fillId="0" borderId="7" xfId="1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horizontal="left" vertical="center"/>
    </xf>
    <xf numFmtId="0" fontId="5" fillId="2" borderId="7" xfId="2" applyFont="1" applyFill="1" applyBorder="1" applyAlignment="1" applyProtection="1">
      <alignment horizontal="left" wrapText="1"/>
      <protection locked="0"/>
    </xf>
    <xf numFmtId="2" fontId="5" fillId="2" borderId="7" xfId="2" applyNumberFormat="1" applyFont="1" applyFill="1" applyBorder="1" applyAlignment="1" applyProtection="1">
      <alignment horizontal="right"/>
      <protection locked="0"/>
    </xf>
    <xf numFmtId="166" fontId="5" fillId="2" borderId="7" xfId="2" applyNumberFormat="1" applyFont="1" applyFill="1" applyBorder="1" applyAlignment="1" applyProtection="1">
      <alignment horizontal="right"/>
      <protection locked="0"/>
    </xf>
    <xf numFmtId="0" fontId="6" fillId="2" borderId="7" xfId="2" applyFill="1" applyBorder="1" applyAlignment="1" applyProtection="1">
      <alignment vertical="top"/>
      <protection locked="0"/>
    </xf>
    <xf numFmtId="0" fontId="6" fillId="0" borderId="7" xfId="2" applyFill="1" applyBorder="1" applyAlignment="1" applyProtection="1">
      <alignment horizontal="center" vertical="top"/>
      <protection locked="0"/>
    </xf>
    <xf numFmtId="0" fontId="44" fillId="0" borderId="0" xfId="2" applyFont="1" applyFill="1" applyAlignment="1" applyProtection="1">
      <alignment horizontal="left" vertical="top"/>
      <protection locked="0"/>
    </xf>
    <xf numFmtId="0" fontId="44" fillId="0" borderId="0" xfId="2" applyFont="1" applyAlignment="1" applyProtection="1">
      <alignment horizontal="left" vertical="top"/>
      <protection locked="0"/>
    </xf>
    <xf numFmtId="165" fontId="9" fillId="0" borderId="7" xfId="1" applyNumberFormat="1" applyFont="1" applyFill="1" applyBorder="1" applyAlignment="1">
      <alignment horizontal="right"/>
      <protection locked="0"/>
    </xf>
    <xf numFmtId="0" fontId="35" fillId="0" borderId="7" xfId="2" applyFont="1" applyFill="1" applyBorder="1" applyAlignment="1" applyProtection="1">
      <alignment horizontal="right" vertical="center"/>
      <protection locked="0"/>
    </xf>
    <xf numFmtId="165" fontId="9" fillId="0" borderId="7" xfId="11" applyNumberFormat="1" applyFont="1" applyFill="1" applyBorder="1" applyAlignment="1" applyProtection="1">
      <alignment horizontal="right"/>
    </xf>
    <xf numFmtId="0" fontId="9" fillId="0" borderId="7" xfId="11" applyFont="1" applyFill="1" applyBorder="1" applyAlignment="1" applyProtection="1">
      <alignment horizontal="left" wrapText="1"/>
    </xf>
    <xf numFmtId="2" fontId="9" fillId="0" borderId="7" xfId="11" applyNumberFormat="1" applyFont="1" applyFill="1" applyBorder="1" applyAlignment="1" applyProtection="1">
      <alignment horizontal="right"/>
    </xf>
    <xf numFmtId="166" fontId="9" fillId="0" borderId="7" xfId="11" applyNumberFormat="1" applyFont="1" applyFill="1" applyBorder="1" applyAlignment="1" applyProtection="1">
      <alignment horizontal="right"/>
      <protection locked="0"/>
    </xf>
    <xf numFmtId="0" fontId="7" fillId="0" borderId="0" xfId="11" applyFill="1" applyAlignment="1" applyProtection="1">
      <alignment horizontal="left" vertical="top"/>
      <protection locked="0"/>
    </xf>
    <xf numFmtId="0" fontId="7" fillId="0" borderId="0" xfId="11" applyAlignment="1" applyProtection="1">
      <alignment horizontal="left" vertical="top"/>
      <protection locked="0"/>
    </xf>
    <xf numFmtId="0" fontId="20" fillId="0" borderId="7" xfId="11" applyFont="1" applyFill="1" applyBorder="1" applyAlignment="1" applyProtection="1">
      <alignment horizontal="left" wrapText="1"/>
    </xf>
    <xf numFmtId="2" fontId="20" fillId="0" borderId="7" xfId="11" applyNumberFormat="1" applyFont="1" applyFill="1" applyBorder="1" applyAlignment="1" applyProtection="1">
      <alignment horizontal="right"/>
    </xf>
    <xf numFmtId="166" fontId="26" fillId="0" borderId="7" xfId="11" applyNumberFormat="1" applyFont="1" applyFill="1" applyBorder="1" applyAlignment="1" applyProtection="1">
      <alignment horizontal="right"/>
      <protection locked="0"/>
    </xf>
    <xf numFmtId="0" fontId="7" fillId="0" borderId="7" xfId="11" applyFill="1" applyBorder="1" applyAlignment="1" applyProtection="1">
      <alignment horizontal="left" vertical="top"/>
      <protection locked="0"/>
    </xf>
    <xf numFmtId="0" fontId="25" fillId="0" borderId="0" xfId="6" applyFont="1" applyFill="1" applyAlignment="1" applyProtection="1">
      <alignment horizontal="left" vertical="center"/>
      <protection locked="0"/>
    </xf>
    <xf numFmtId="0" fontId="7" fillId="0" borderId="0" xfId="6" applyFont="1" applyFill="1" applyAlignment="1" applyProtection="1">
      <alignment horizontal="left" vertical="top"/>
      <protection locked="0"/>
    </xf>
    <xf numFmtId="0" fontId="9" fillId="0" borderId="7" xfId="7" applyFont="1" applyFill="1" applyBorder="1" applyAlignment="1" applyProtection="1">
      <alignment horizontal="left" wrapText="1"/>
      <protection locked="0"/>
    </xf>
    <xf numFmtId="0" fontId="17" fillId="0" borderId="0" xfId="3" applyFont="1" applyFill="1" applyAlignment="1" applyProtection="1">
      <alignment horizontal="left" vertical="center"/>
      <protection locked="0"/>
    </xf>
    <xf numFmtId="2" fontId="24" fillId="0" borderId="7" xfId="2" applyNumberFormat="1" applyFont="1" applyFill="1" applyBorder="1" applyAlignment="1" applyProtection="1">
      <protection locked="0"/>
    </xf>
    <xf numFmtId="0" fontId="17" fillId="0" borderId="0" xfId="6" applyFont="1" applyFill="1" applyAlignment="1" applyProtection="1">
      <alignment horizontal="left" vertical="center"/>
      <protection locked="0"/>
    </xf>
    <xf numFmtId="166" fontId="9" fillId="0" borderId="7" xfId="1" applyNumberFormat="1" applyFont="1" applyFill="1" applyBorder="1" applyAlignment="1">
      <alignment horizontal="center"/>
      <protection locked="0"/>
    </xf>
    <xf numFmtId="0" fontId="6" fillId="0" borderId="0" xfId="2" applyFill="1" applyAlignment="1" applyProtection="1">
      <alignment vertical="top"/>
      <protection locked="0"/>
    </xf>
    <xf numFmtId="166" fontId="9" fillId="0" borderId="7" xfId="5" applyNumberFormat="1" applyFont="1" applyFill="1" applyBorder="1" applyAlignment="1" applyProtection="1">
      <alignment horizontal="center"/>
      <protection locked="0"/>
    </xf>
    <xf numFmtId="0" fontId="6" fillId="0" borderId="0" xfId="2" applyFill="1" applyAlignment="1">
      <alignment vertical="top"/>
      <protection locked="0"/>
    </xf>
    <xf numFmtId="0" fontId="2" fillId="0" borderId="0" xfId="1" applyFill="1" applyAlignment="1">
      <alignment horizontal="right" vertical="center"/>
      <protection locked="0"/>
    </xf>
    <xf numFmtId="0" fontId="6" fillId="2" borderId="0" xfId="2" applyFill="1" applyAlignment="1" applyProtection="1">
      <alignment horizontal="left" vertical="top"/>
      <protection locked="0"/>
    </xf>
    <xf numFmtId="4" fontId="9" fillId="0" borderId="7" xfId="2" applyNumberFormat="1" applyFont="1" applyFill="1" applyBorder="1" applyAlignment="1" applyProtection="1">
      <alignment shrinkToFit="1"/>
    </xf>
    <xf numFmtId="165" fontId="9" fillId="0" borderId="7" xfId="2" applyNumberFormat="1" applyFont="1" applyFill="1" applyBorder="1" applyAlignment="1" applyProtection="1">
      <alignment horizontal="right"/>
    </xf>
    <xf numFmtId="0" fontId="26" fillId="0" borderId="7" xfId="2" applyFont="1" applyFill="1" applyBorder="1" applyAlignment="1" applyProtection="1">
      <alignment horizontal="left" wrapText="1"/>
    </xf>
    <xf numFmtId="0" fontId="20" fillId="0" borderId="7" xfId="2" applyFont="1" applyFill="1" applyBorder="1" applyAlignment="1" applyProtection="1">
      <alignment horizontal="left" wrapText="1"/>
    </xf>
    <xf numFmtId="2" fontId="20" fillId="0" borderId="7" xfId="2" applyNumberFormat="1" applyFont="1" applyFill="1" applyBorder="1" applyAlignment="1" applyProtection="1">
      <alignment horizontal="right"/>
    </xf>
    <xf numFmtId="166" fontId="26" fillId="0" borderId="7" xfId="2" applyNumberFormat="1" applyFont="1" applyFill="1" applyBorder="1" applyAlignment="1" applyProtection="1">
      <alignment horizontal="right"/>
    </xf>
    <xf numFmtId="166" fontId="9" fillId="0" borderId="7" xfId="2" applyNumberFormat="1" applyFont="1" applyFill="1" applyBorder="1" applyAlignment="1" applyProtection="1">
      <alignment horizontal="right"/>
    </xf>
    <xf numFmtId="0" fontId="6" fillId="0" borderId="7" xfId="2" applyFill="1" applyBorder="1" applyAlignment="1" applyProtection="1">
      <alignment horizontal="left" vertical="top"/>
    </xf>
    <xf numFmtId="49" fontId="9" fillId="0" borderId="7" xfId="2" applyNumberFormat="1" applyFont="1" applyFill="1" applyBorder="1" applyAlignment="1" applyProtection="1">
      <alignment horizontal="left" wrapText="1"/>
    </xf>
    <xf numFmtId="0" fontId="9" fillId="0" borderId="7" xfId="2" applyFont="1" applyFill="1" applyBorder="1" applyAlignment="1" applyProtection="1">
      <alignment horizontal="left" wrapText="1"/>
    </xf>
    <xf numFmtId="2" fontId="26" fillId="0" borderId="7" xfId="2" applyNumberFormat="1" applyFont="1" applyFill="1" applyBorder="1" applyAlignment="1" applyProtection="1">
      <alignment horizontal="right"/>
    </xf>
    <xf numFmtId="0" fontId="31" fillId="0" borderId="0" xfId="1" applyFont="1" applyFill="1" applyAlignment="1">
      <alignment horizontal="left" vertical="center"/>
      <protection locked="0"/>
    </xf>
    <xf numFmtId="2" fontId="20" fillId="0" borderId="7" xfId="2" applyNumberFormat="1" applyFont="1" applyFill="1" applyBorder="1" applyAlignment="1">
      <alignment horizontal="right"/>
      <protection locked="0"/>
    </xf>
    <xf numFmtId="2" fontId="26" fillId="0" borderId="7" xfId="2" applyNumberFormat="1" applyFont="1" applyFill="1" applyBorder="1" applyAlignment="1" applyProtection="1">
      <alignment horizontal="right"/>
      <protection locked="0"/>
    </xf>
    <xf numFmtId="166" fontId="5" fillId="0" borderId="7" xfId="2" applyNumberFormat="1" applyFont="1" applyFill="1" applyBorder="1" applyAlignment="1" applyProtection="1">
      <alignment horizontal="left"/>
      <protection locked="0"/>
    </xf>
    <xf numFmtId="2" fontId="7" fillId="0" borderId="0" xfId="3" applyNumberFormat="1" applyFont="1" applyFill="1" applyAlignment="1" applyProtection="1">
      <alignment vertical="top"/>
      <protection locked="0"/>
    </xf>
    <xf numFmtId="0" fontId="6" fillId="0" borderId="0" xfId="2" applyAlignment="1" applyProtection="1">
      <alignment vertical="top"/>
      <protection locked="0"/>
    </xf>
    <xf numFmtId="165" fontId="24" fillId="0" borderId="7" xfId="2" applyNumberFormat="1" applyFont="1" applyFill="1" applyBorder="1" applyAlignment="1" applyProtection="1">
      <alignment horizontal="right"/>
      <protection locked="0"/>
    </xf>
    <xf numFmtId="2" fontId="24" fillId="0" borderId="7" xfId="2" applyNumberFormat="1" applyFont="1" applyFill="1" applyBorder="1" applyAlignment="1" applyProtection="1">
      <alignment horizontal="right"/>
      <protection locked="0"/>
    </xf>
    <xf numFmtId="2" fontId="24" fillId="3" borderId="7" xfId="2" applyNumberFormat="1" applyFont="1" applyFill="1" applyBorder="1" applyAlignment="1" applyProtection="1">
      <alignment horizontal="right"/>
      <protection locked="0"/>
    </xf>
    <xf numFmtId="49" fontId="20" fillId="0" borderId="7" xfId="2" applyNumberFormat="1" applyFont="1" applyFill="1" applyBorder="1" applyAlignment="1" applyProtection="1">
      <alignment horizontal="left" wrapText="1"/>
      <protection locked="0"/>
    </xf>
    <xf numFmtId="0" fontId="44" fillId="0" borderId="7" xfId="2" applyFont="1" applyFill="1" applyBorder="1" applyAlignment="1" applyProtection="1">
      <alignment vertical="top"/>
      <protection locked="0"/>
    </xf>
    <xf numFmtId="0" fontId="54" fillId="0" borderId="0" xfId="4" applyFont="1" applyFill="1" applyAlignment="1" applyProtection="1">
      <alignment horizontal="left" vertical="center"/>
    </xf>
    <xf numFmtId="0" fontId="57" fillId="0" borderId="7" xfId="2" applyFont="1" applyFill="1" applyBorder="1" applyAlignment="1" applyProtection="1">
      <alignment horizontal="left" vertical="top"/>
      <protection locked="0"/>
    </xf>
    <xf numFmtId="0" fontId="46" fillId="0" borderId="0" xfId="1" applyFont="1" applyFill="1" applyAlignment="1">
      <alignment horizontal="left" vertical="center"/>
      <protection locked="0"/>
    </xf>
    <xf numFmtId="0" fontId="27" fillId="0" borderId="0" xfId="1" applyFont="1" applyFill="1" applyAlignment="1">
      <alignment horizontal="left" vertical="center"/>
      <protection locked="0"/>
    </xf>
    <xf numFmtId="0" fontId="58" fillId="0" borderId="0" xfId="1" applyFont="1" applyFill="1" applyAlignment="1">
      <alignment horizontal="left" vertical="top"/>
      <protection locked="0"/>
    </xf>
    <xf numFmtId="165" fontId="59" fillId="0" borderId="7" xfId="2" applyNumberFormat="1" applyFont="1" applyFill="1" applyBorder="1" applyAlignment="1">
      <alignment horizontal="right"/>
      <protection locked="0"/>
    </xf>
    <xf numFmtId="0" fontId="59" fillId="0" borderId="7" xfId="2" applyFont="1" applyFill="1" applyBorder="1" applyAlignment="1">
      <alignment horizontal="left" wrapText="1"/>
      <protection locked="0"/>
    </xf>
    <xf numFmtId="2" fontId="59" fillId="0" borderId="7" xfId="2" applyNumberFormat="1" applyFont="1" applyFill="1" applyBorder="1" applyAlignment="1">
      <alignment horizontal="right"/>
      <protection locked="0"/>
    </xf>
    <xf numFmtId="166" fontId="59" fillId="0" borderId="7" xfId="2" applyNumberFormat="1" applyFont="1" applyFill="1" applyBorder="1" applyAlignment="1">
      <alignment horizontal="right"/>
      <protection locked="0"/>
    </xf>
    <xf numFmtId="166" fontId="59" fillId="0" borderId="7" xfId="2" applyNumberFormat="1" applyFont="1" applyFill="1" applyBorder="1" applyAlignment="1" applyProtection="1">
      <alignment horizontal="center"/>
      <protection locked="0"/>
    </xf>
    <xf numFmtId="0" fontId="60" fillId="0" borderId="7" xfId="2" applyFont="1" applyFill="1" applyBorder="1" applyAlignment="1" applyProtection="1">
      <alignment horizontal="left" wrapText="1"/>
      <protection locked="0"/>
    </xf>
    <xf numFmtId="2" fontId="61" fillId="0" borderId="7" xfId="2" applyNumberFormat="1" applyFont="1" applyFill="1" applyBorder="1" applyAlignment="1">
      <alignment horizontal="right"/>
      <protection locked="0"/>
    </xf>
    <xf numFmtId="166" fontId="59" fillId="0" borderId="7" xfId="2" applyNumberFormat="1" applyFont="1" applyFill="1" applyBorder="1" applyAlignment="1">
      <alignment horizontal="center"/>
      <protection locked="0"/>
    </xf>
    <xf numFmtId="168" fontId="2" fillId="0" borderId="0" xfId="1" applyNumberFormat="1" applyFill="1" applyAlignment="1">
      <alignment horizontal="left" vertical="top"/>
      <protection locked="0"/>
    </xf>
    <xf numFmtId="0" fontId="6" fillId="5" borderId="0" xfId="2" applyFill="1" applyAlignment="1">
      <alignment vertical="top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43" fillId="0" borderId="0" xfId="0" applyFont="1" applyFill="1" applyAlignment="1" applyProtection="1">
      <alignment horizontal="center" vertical="center"/>
      <protection locked="0"/>
    </xf>
    <xf numFmtId="0" fontId="44" fillId="0" borderId="0" xfId="0" applyFont="1" applyFill="1" applyAlignment="1" applyProtection="1">
      <alignment horizontal="left" vertical="top"/>
      <protection locked="0"/>
    </xf>
    <xf numFmtId="0" fontId="48" fillId="0" borderId="0" xfId="0" applyFont="1" applyFill="1" applyAlignment="1" applyProtection="1">
      <alignment horizontal="left" vertical="center"/>
      <protection locked="0"/>
    </xf>
    <xf numFmtId="0" fontId="25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top"/>
      <protection locked="0"/>
    </xf>
    <xf numFmtId="168" fontId="17" fillId="0" borderId="0" xfId="0" applyNumberFormat="1" applyFont="1" applyFill="1" applyAlignment="1" applyProtection="1">
      <alignment vertical="center"/>
      <protection locked="0"/>
    </xf>
    <xf numFmtId="0" fontId="49" fillId="0" borderId="0" xfId="0" applyFont="1" applyFill="1" applyAlignment="1" applyProtection="1">
      <alignment horizontal="right" vertical="center"/>
      <protection locked="0"/>
    </xf>
    <xf numFmtId="4" fontId="25" fillId="0" borderId="0" xfId="0" applyNumberFormat="1" applyFont="1" applyFill="1" applyAlignment="1" applyProtection="1">
      <alignment horizontal="center" vertical="center"/>
      <protection locked="0"/>
    </xf>
    <xf numFmtId="0" fontId="50" fillId="0" borderId="0" xfId="0" applyFont="1" applyFill="1" applyAlignment="1" applyProtection="1">
      <alignment horizontal="center" vertical="center"/>
      <protection locked="0"/>
    </xf>
    <xf numFmtId="166" fontId="9" fillId="0" borderId="7" xfId="0" applyNumberFormat="1" applyFont="1" applyFill="1" applyBorder="1" applyAlignment="1" applyProtection="1">
      <alignment horizontal="right"/>
      <protection locked="0"/>
    </xf>
    <xf numFmtId="0" fontId="25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/>
    <xf numFmtId="0" fontId="0" fillId="0" borderId="0" xfId="0" applyAlignment="1" applyProtection="1"/>
    <xf numFmtId="0" fontId="0" fillId="0" borderId="0" xfId="0" applyFill="1" applyAlignment="1" applyProtection="1">
      <alignment horizontal="right" vertical="center"/>
      <protection locked="0"/>
    </xf>
    <xf numFmtId="4" fontId="47" fillId="0" borderId="0" xfId="0" applyNumberFormat="1" applyFont="1" applyFill="1" applyAlignment="1" applyProtection="1">
      <alignment horizontal="left" vertical="center"/>
      <protection locked="0"/>
    </xf>
    <xf numFmtId="0" fontId="48" fillId="0" borderId="0" xfId="0" applyFont="1" applyFill="1" applyAlignment="1" applyProtection="1">
      <alignment horizontal="center" vertical="center"/>
      <protection locked="0"/>
    </xf>
    <xf numFmtId="0" fontId="49" fillId="0" borderId="0" xfId="0" applyFont="1" applyFill="1" applyAlignment="1" applyProtection="1">
      <alignment vertical="center"/>
      <protection locked="0"/>
    </xf>
    <xf numFmtId="4" fontId="47" fillId="0" borderId="0" xfId="0" applyNumberFormat="1" applyFont="1" applyFill="1" applyAlignment="1" applyProtection="1">
      <alignment horizontal="center" vertical="center"/>
      <protection locked="0"/>
    </xf>
    <xf numFmtId="49" fontId="47" fillId="0" borderId="0" xfId="0" applyNumberFormat="1" applyFont="1" applyFill="1" applyAlignment="1" applyProtection="1">
      <alignment horizontal="right" vertical="center"/>
      <protection locked="0"/>
    </xf>
    <xf numFmtId="0" fontId="17" fillId="0" borderId="0" xfId="0" applyFont="1" applyFill="1" applyAlignment="1" applyProtection="1">
      <alignment horizontal="left" vertical="top"/>
      <protection locked="0"/>
    </xf>
    <xf numFmtId="2" fontId="2" fillId="0" borderId="0" xfId="0" applyNumberFormat="1" applyFont="1" applyFill="1" applyAlignment="1" applyProtection="1">
      <alignment horizontal="left" vertical="top"/>
      <protection locked="0"/>
    </xf>
    <xf numFmtId="0" fontId="40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Fill="1" applyAlignment="1" applyProtection="1">
      <alignment horizontal="left" vertical="center"/>
      <protection locked="0"/>
    </xf>
    <xf numFmtId="0" fontId="40" fillId="0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Alignment="1" applyProtection="1">
      <alignment vertical="top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8" fontId="40" fillId="0" borderId="0" xfId="0" applyNumberFormat="1" applyFont="1" applyFill="1" applyAlignment="1" applyProtection="1"/>
    <xf numFmtId="2" fontId="47" fillId="0" borderId="14" xfId="0" applyNumberFormat="1" applyFont="1" applyFill="1" applyBorder="1" applyAlignment="1" applyProtection="1">
      <alignment horizontal="left" vertical="center"/>
      <protection locked="0"/>
    </xf>
    <xf numFmtId="0" fontId="40" fillId="0" borderId="0" xfId="0" applyFont="1" applyFill="1" applyAlignment="1" applyProtection="1"/>
    <xf numFmtId="0" fontId="2" fillId="0" borderId="0" xfId="0" applyFont="1" applyFill="1" applyAlignment="1" applyProtection="1"/>
    <xf numFmtId="0" fontId="55" fillId="0" borderId="0" xfId="0" applyFont="1" applyFill="1" applyAlignment="1" applyProtection="1">
      <alignment horizontal="left" vertical="top"/>
      <protection locked="0"/>
    </xf>
    <xf numFmtId="0" fontId="46" fillId="0" borderId="0" xfId="0" applyFont="1" applyFill="1" applyAlignment="1" applyProtection="1">
      <alignment horizontal="left" vertical="center"/>
    </xf>
    <xf numFmtId="0" fontId="46" fillId="0" borderId="0" xfId="0" applyFont="1" applyFill="1" applyAlignment="1" applyProtection="1">
      <alignment horizontal="right" vertical="center"/>
    </xf>
    <xf numFmtId="0" fontId="25" fillId="0" borderId="0" xfId="0" applyFont="1" applyFill="1" applyAlignment="1" applyProtection="1"/>
    <xf numFmtId="2" fontId="47" fillId="0" borderId="0" xfId="0" applyNumberFormat="1" applyFont="1" applyFill="1" applyAlignment="1" applyProtection="1">
      <alignment horizontal="center" vertical="center"/>
      <protection locked="0"/>
    </xf>
    <xf numFmtId="166" fontId="25" fillId="0" borderId="0" xfId="0" applyNumberFormat="1" applyFont="1" applyFill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166" fontId="21" fillId="0" borderId="0" xfId="0" applyNumberFormat="1" applyFont="1" applyFill="1" applyAlignment="1" applyProtection="1">
      <alignment horizontal="left" vertical="center"/>
      <protection locked="0"/>
    </xf>
    <xf numFmtId="0" fontId="35" fillId="0" borderId="7" xfId="0" applyFont="1" applyFill="1" applyBorder="1" applyAlignment="1" applyProtection="1">
      <alignment horizontal="right" vertical="center"/>
      <protection locked="0"/>
    </xf>
    <xf numFmtId="1" fontId="9" fillId="0" borderId="7" xfId="0" applyNumberFormat="1" applyFont="1" applyFill="1" applyBorder="1" applyAlignment="1" applyProtection="1">
      <alignment horizontal="right"/>
      <protection locked="0"/>
    </xf>
    <xf numFmtId="0" fontId="9" fillId="0" borderId="7" xfId="0" applyFont="1" applyFill="1" applyBorder="1" applyAlignment="1" applyProtection="1">
      <alignment horizontal="left" wrapText="1"/>
      <protection locked="0"/>
    </xf>
    <xf numFmtId="0" fontId="20" fillId="0" borderId="7" xfId="0" applyFont="1" applyFill="1" applyBorder="1" applyAlignment="1" applyProtection="1">
      <alignment horizontal="left" wrapText="1"/>
      <protection locked="0"/>
    </xf>
    <xf numFmtId="2" fontId="9" fillId="0" borderId="7" xfId="0" applyNumberFormat="1" applyFont="1" applyFill="1" applyBorder="1" applyAlignment="1" applyProtection="1">
      <alignment horizontal="right"/>
      <protection locked="0"/>
    </xf>
    <xf numFmtId="4" fontId="9" fillId="2" borderId="7" xfId="0" applyNumberFormat="1" applyFont="1" applyFill="1" applyBorder="1" applyAlignment="1" applyProtection="1">
      <alignment horizontal="right"/>
      <protection locked="0"/>
    </xf>
    <xf numFmtId="39" fontId="9" fillId="2" borderId="7" xfId="0" applyNumberFormat="1" applyFont="1" applyFill="1" applyBorder="1" applyAlignment="1" applyProtection="1">
      <alignment horizontal="center"/>
      <protection locked="0"/>
    </xf>
    <xf numFmtId="165" fontId="9" fillId="0" borderId="7" xfId="0" applyNumberFormat="1" applyFont="1" applyFill="1" applyBorder="1" applyAlignment="1" applyProtection="1">
      <alignment horizontal="right"/>
      <protection locked="0"/>
    </xf>
    <xf numFmtId="2" fontId="20" fillId="0" borderId="7" xfId="0" applyNumberFormat="1" applyFont="1" applyFill="1" applyBorder="1" applyAlignment="1" applyProtection="1">
      <alignment horizontal="right"/>
      <protection locked="0"/>
    </xf>
    <xf numFmtId="4" fontId="20" fillId="0" borderId="7" xfId="0" applyNumberFormat="1" applyFont="1" applyFill="1" applyBorder="1" applyAlignment="1" applyProtection="1">
      <alignment horizontal="right"/>
      <protection locked="0"/>
    </xf>
    <xf numFmtId="0" fontId="52" fillId="0" borderId="0" xfId="0" applyFont="1" applyFill="1" applyAlignment="1" applyProtection="1">
      <alignment horizontal="left" vertical="center"/>
      <protection locked="0"/>
    </xf>
    <xf numFmtId="0" fontId="67" fillId="0" borderId="0" xfId="0" applyFont="1" applyFill="1" applyAlignment="1" applyProtection="1">
      <alignment horizontal="left" vertical="center"/>
      <protection locked="0"/>
    </xf>
    <xf numFmtId="0" fontId="7" fillId="0" borderId="0" xfId="3" applyFont="1" applyFill="1" applyAlignment="1" applyProtection="1">
      <alignment horizontal="left" vertical="top"/>
      <protection locked="0"/>
    </xf>
    <xf numFmtId="2" fontId="24" fillId="0" borderId="7" xfId="0" applyNumberFormat="1" applyFont="1" applyFill="1" applyBorder="1" applyAlignment="1" applyProtection="1">
      <protection locked="0"/>
    </xf>
    <xf numFmtId="165" fontId="26" fillId="0" borderId="7" xfId="0" applyNumberFormat="1" applyFont="1" applyFill="1" applyBorder="1" applyAlignment="1" applyProtection="1">
      <alignment horizontal="right"/>
      <protection locked="0"/>
    </xf>
    <xf numFmtId="49" fontId="26" fillId="0" borderId="7" xfId="0" applyNumberFormat="1" applyFont="1" applyFill="1" applyBorder="1" applyAlignment="1" applyProtection="1">
      <alignment horizontal="left" wrapText="1"/>
      <protection locked="0"/>
    </xf>
    <xf numFmtId="0" fontId="26" fillId="0" borderId="7" xfId="0" applyFont="1" applyFill="1" applyBorder="1" applyAlignment="1" applyProtection="1">
      <alignment horizontal="left" wrapText="1"/>
      <protection locked="0"/>
    </xf>
    <xf numFmtId="0" fontId="20" fillId="0" borderId="7" xfId="7" applyFont="1" applyFill="1" applyBorder="1" applyAlignment="1" applyProtection="1">
      <alignment horizontal="left" vertical="center" wrapText="1"/>
      <protection locked="0"/>
    </xf>
    <xf numFmtId="0" fontId="0" fillId="0" borderId="7" xfId="0" applyFill="1" applyBorder="1" applyAlignment="1" applyProtection="1">
      <alignment horizontal="left" vertical="top"/>
      <protection locked="0"/>
    </xf>
    <xf numFmtId="166" fontId="42" fillId="0" borderId="7" xfId="2" applyNumberFormat="1" applyFont="1" applyFill="1" applyBorder="1" applyAlignment="1" applyProtection="1">
      <alignment horizontal="center"/>
      <protection locked="0"/>
    </xf>
    <xf numFmtId="3" fontId="9" fillId="0" borderId="7" xfId="0" applyNumberFormat="1" applyFont="1" applyFill="1" applyBorder="1" applyAlignment="1" applyProtection="1">
      <alignment horizontal="right"/>
      <protection locked="0"/>
    </xf>
    <xf numFmtId="49" fontId="9" fillId="0" borderId="7" xfId="0" applyNumberFormat="1" applyFont="1" applyFill="1" applyBorder="1" applyAlignment="1" applyProtection="1">
      <alignment horizontal="left" wrapText="1"/>
      <protection locked="0"/>
    </xf>
    <xf numFmtId="4" fontId="9" fillId="0" borderId="7" xfId="0" applyNumberFormat="1" applyFont="1" applyFill="1" applyBorder="1" applyAlignment="1" applyProtection="1">
      <alignment horizontal="right"/>
      <protection locked="0"/>
    </xf>
    <xf numFmtId="0" fontId="0" fillId="0" borderId="7" xfId="0" applyFill="1" applyBorder="1" applyAlignment="1" applyProtection="1">
      <alignment vertical="top"/>
      <protection locked="0"/>
    </xf>
    <xf numFmtId="0" fontId="41" fillId="0" borderId="0" xfId="3" applyFont="1" applyFill="1" applyAlignment="1" applyProtection="1">
      <alignment horizontal="left" vertical="center"/>
      <protection locked="0"/>
    </xf>
    <xf numFmtId="0" fontId="69" fillId="0" borderId="0" xfId="0" applyFont="1" applyFill="1" applyAlignment="1" applyProtection="1">
      <alignment horizontal="left" vertical="center"/>
      <protection locked="0"/>
    </xf>
    <xf numFmtId="4" fontId="0" fillId="0" borderId="0" xfId="0" applyNumberFormat="1" applyFill="1" applyAlignment="1" applyProtection="1"/>
    <xf numFmtId="0" fontId="41" fillId="0" borderId="0" xfId="1" applyFont="1" applyFill="1" applyAlignment="1">
      <alignment horizontal="left" vertical="center"/>
      <protection locked="0"/>
    </xf>
    <xf numFmtId="166" fontId="70" fillId="0" borderId="7" xfId="2" applyNumberFormat="1" applyFont="1" applyFill="1" applyBorder="1" applyAlignment="1" applyProtection="1">
      <alignment horizontal="center"/>
      <protection locked="0"/>
    </xf>
    <xf numFmtId="0" fontId="24" fillId="0" borderId="7" xfId="0" applyFont="1" applyFill="1" applyBorder="1" applyAlignment="1" applyProtection="1">
      <alignment horizontal="left" wrapText="1"/>
      <protection locked="0"/>
    </xf>
    <xf numFmtId="2" fontId="24" fillId="0" borderId="7" xfId="0" applyNumberFormat="1" applyFont="1" applyFill="1" applyBorder="1" applyAlignment="1" applyProtection="1">
      <alignment horizontal="right"/>
      <protection locked="0"/>
    </xf>
    <xf numFmtId="39" fontId="9" fillId="0" borderId="7" xfId="0" applyNumberFormat="1" applyFont="1" applyFill="1" applyBorder="1" applyAlignment="1" applyProtection="1">
      <alignment horizontal="center"/>
      <protection locked="0"/>
    </xf>
    <xf numFmtId="39" fontId="9" fillId="0" borderId="7" xfId="12" applyNumberFormat="1" applyFont="1" applyFill="1" applyBorder="1" applyAlignment="1" applyProtection="1">
      <alignment horizontal="center"/>
      <protection locked="0"/>
    </xf>
    <xf numFmtId="1" fontId="5" fillId="0" borderId="7" xfId="0" applyNumberFormat="1" applyFont="1" applyFill="1" applyBorder="1" applyAlignment="1" applyProtection="1">
      <alignment horizontal="right"/>
      <protection locked="0"/>
    </xf>
    <xf numFmtId="4" fontId="5" fillId="0" borderId="7" xfId="0" applyNumberFormat="1" applyFont="1" applyFill="1" applyBorder="1" applyAlignment="1" applyProtection="1">
      <alignment horizontal="right"/>
      <protection locked="0"/>
    </xf>
    <xf numFmtId="0" fontId="72" fillId="0" borderId="0" xfId="1" applyFont="1" applyFill="1" applyAlignment="1">
      <alignment horizontal="left" vertical="center"/>
      <protection locked="0"/>
    </xf>
    <xf numFmtId="0" fontId="58" fillId="0" borderId="0" xfId="1" applyFont="1" applyFill="1" applyAlignment="1">
      <alignment horizontal="left" vertical="center"/>
      <protection locked="0"/>
    </xf>
    <xf numFmtId="0" fontId="25" fillId="0" borderId="0" xfId="1" applyFont="1" applyFill="1" applyAlignment="1">
      <alignment horizontal="left" vertical="center"/>
      <protection locked="0"/>
    </xf>
    <xf numFmtId="0" fontId="49" fillId="0" borderId="0" xfId="1" applyFont="1" applyFill="1" applyAlignment="1">
      <alignment horizontal="left" vertical="center"/>
      <protection locked="0"/>
    </xf>
    <xf numFmtId="0" fontId="58" fillId="0" borderId="0" xfId="1" applyFont="1" applyFill="1" applyAlignment="1">
      <alignment horizontal="right" vertical="center"/>
      <protection locked="0"/>
    </xf>
    <xf numFmtId="0" fontId="41" fillId="0" borderId="0" xfId="0" applyFont="1" applyFill="1" applyAlignment="1" applyProtection="1">
      <alignment horizontal="left" vertical="center"/>
      <protection locked="0"/>
    </xf>
    <xf numFmtId="2" fontId="20" fillId="0" borderId="7" xfId="2" applyNumberFormat="1" applyFont="1" applyFill="1" applyBorder="1" applyAlignment="1" applyProtection="1">
      <alignment horizontal="right" wrapText="1"/>
      <protection locked="0"/>
    </xf>
    <xf numFmtId="0" fontId="45" fillId="0" borderId="0" xfId="1" applyFont="1" applyFill="1" applyAlignment="1">
      <alignment horizontal="left" vertical="top"/>
      <protection locked="0"/>
    </xf>
    <xf numFmtId="0" fontId="31" fillId="0" borderId="0" xfId="3" applyFont="1" applyFill="1" applyAlignment="1" applyProtection="1">
      <alignment horizontal="left" vertical="center"/>
      <protection locked="0"/>
    </xf>
    <xf numFmtId="0" fontId="46" fillId="0" borderId="0" xfId="0" applyFont="1" applyFill="1" applyAlignment="1" applyProtection="1">
      <alignment horizontal="left" vertical="center"/>
      <protection locked="0"/>
    </xf>
    <xf numFmtId="0" fontId="47" fillId="0" borderId="0" xfId="0" applyFont="1" applyFill="1" applyAlignment="1" applyProtection="1">
      <alignment horizontal="left" vertical="center"/>
      <protection locked="0"/>
    </xf>
    <xf numFmtId="0" fontId="47" fillId="0" borderId="0" xfId="0" applyFont="1" applyFill="1" applyAlignment="1" applyProtection="1">
      <alignment horizontal="center" vertical="center"/>
      <protection locked="0"/>
    </xf>
    <xf numFmtId="0" fontId="31" fillId="0" borderId="0" xfId="3" applyFont="1" applyFill="1" applyAlignment="1" applyProtection="1">
      <alignment vertical="center"/>
      <protection locked="0"/>
    </xf>
    <xf numFmtId="0" fontId="51" fillId="0" borderId="0" xfId="0" applyFont="1" applyFill="1" applyAlignment="1" applyProtection="1">
      <alignment horizontal="left" vertical="center"/>
      <protection locked="0"/>
    </xf>
    <xf numFmtId="0" fontId="29" fillId="0" borderId="0" xfId="8" applyFont="1" applyFill="1" applyAlignment="1">
      <alignment horizontal="left" vertical="top"/>
      <protection locked="0"/>
    </xf>
    <xf numFmtId="0" fontId="53" fillId="0" borderId="0" xfId="3" applyFont="1" applyFill="1" applyAlignment="1" applyProtection="1">
      <alignment vertical="top"/>
      <protection locked="0"/>
    </xf>
    <xf numFmtId="0" fontId="73" fillId="0" borderId="0" xfId="0" applyFont="1" applyFill="1" applyAlignment="1" applyProtection="1">
      <alignment horizontal="left" vertical="center"/>
    </xf>
    <xf numFmtId="0" fontId="74" fillId="0" borderId="0" xfId="0" applyFont="1" applyFill="1" applyAlignment="1" applyProtection="1"/>
    <xf numFmtId="0" fontId="0" fillId="0" borderId="0" xfId="0" applyFill="1" applyAlignment="1" applyProtection="1">
      <alignment horizontal="right" vertical="top"/>
      <protection locked="0"/>
    </xf>
    <xf numFmtId="0" fontId="55" fillId="0" borderId="0" xfId="0" applyFont="1" applyFill="1" applyAlignment="1" applyProtection="1">
      <alignment horizontal="right" vertical="top"/>
      <protection locked="0"/>
    </xf>
    <xf numFmtId="0" fontId="56" fillId="0" borderId="0" xfId="0" applyFont="1" applyFill="1" applyAlignment="1" applyProtection="1">
      <alignment horizontal="left" vertical="top"/>
      <protection locked="0"/>
    </xf>
    <xf numFmtId="0" fontId="55" fillId="0" borderId="0" xfId="0" applyFont="1" applyFill="1" applyAlignment="1" applyProtection="1"/>
    <xf numFmtId="166" fontId="0" fillId="0" borderId="0" xfId="0" applyNumberFormat="1" applyFill="1" applyAlignment="1" applyProtection="1"/>
    <xf numFmtId="0" fontId="17" fillId="0" borderId="0" xfId="1" applyFont="1" applyFill="1" applyAlignment="1">
      <alignment horizontal="left" vertical="top"/>
      <protection locked="0"/>
    </xf>
    <xf numFmtId="0" fontId="71" fillId="0" borderId="0" xfId="1" applyFont="1" applyFill="1" applyAlignment="1">
      <alignment horizontal="left" vertical="center"/>
      <protection locked="0"/>
    </xf>
    <xf numFmtId="0" fontId="62" fillId="0" borderId="0" xfId="0" applyFont="1" applyFill="1" applyAlignment="1" applyProtection="1">
      <alignment horizontal="left" vertical="top"/>
      <protection locked="0"/>
    </xf>
    <xf numFmtId="0" fontId="63" fillId="0" borderId="0" xfId="0" applyFont="1" applyFill="1" applyAlignment="1" applyProtection="1">
      <alignment horizontal="left" vertical="center"/>
      <protection locked="0"/>
    </xf>
    <xf numFmtId="0" fontId="64" fillId="0" borderId="0" xfId="0" applyFont="1" applyFill="1" applyAlignment="1" applyProtection="1">
      <alignment horizontal="right" vertical="center"/>
      <protection locked="0"/>
    </xf>
    <xf numFmtId="0" fontId="62" fillId="0" borderId="0" xfId="0" applyFont="1" applyFill="1" applyAlignment="1" applyProtection="1">
      <alignment vertical="top"/>
      <protection locked="0"/>
    </xf>
    <xf numFmtId="168" fontId="65" fillId="0" borderId="0" xfId="0" applyNumberFormat="1" applyFont="1" applyFill="1" applyAlignment="1" applyProtection="1">
      <alignment vertical="center"/>
      <protection locked="0"/>
    </xf>
    <xf numFmtId="0" fontId="66" fillId="0" borderId="0" xfId="0" applyFont="1" applyFill="1" applyAlignment="1" applyProtection="1">
      <alignment vertical="center"/>
      <protection locked="0"/>
    </xf>
    <xf numFmtId="0" fontId="31" fillId="0" borderId="0" xfId="0" applyFont="1" applyFill="1" applyAlignment="1" applyProtection="1">
      <alignment vertical="center"/>
      <protection locked="0"/>
    </xf>
    <xf numFmtId="165" fontId="5" fillId="0" borderId="7" xfId="3" applyNumberFormat="1" applyFont="1" applyFill="1" applyBorder="1" applyAlignment="1">
      <alignment horizontal="right"/>
      <protection locked="0"/>
    </xf>
    <xf numFmtId="0" fontId="5" fillId="0" borderId="7" xfId="3" applyFont="1" applyFill="1" applyBorder="1" applyAlignment="1">
      <alignment horizontal="left" wrapText="1"/>
      <protection locked="0"/>
    </xf>
    <xf numFmtId="9" fontId="2" fillId="0" borderId="0" xfId="0" applyNumberFormat="1" applyFont="1" applyFill="1" applyAlignment="1" applyProtection="1">
      <alignment horizontal="left" vertical="top"/>
      <protection locked="0"/>
    </xf>
    <xf numFmtId="0" fontId="68" fillId="0" borderId="7" xfId="2" applyFont="1" applyFill="1" applyBorder="1" applyAlignment="1" applyProtection="1">
      <alignment vertical="center"/>
      <protection locked="0"/>
    </xf>
    <xf numFmtId="2" fontId="9" fillId="0" borderId="7" xfId="0" applyNumberFormat="1" applyFont="1" applyFill="1" applyBorder="1" applyAlignment="1" applyProtection="1">
      <protection locked="0"/>
    </xf>
    <xf numFmtId="0" fontId="9" fillId="0" borderId="7" xfId="2" applyNumberFormat="1" applyFont="1" applyFill="1" applyBorder="1" applyAlignment="1" applyProtection="1">
      <alignment horizontal="left"/>
    </xf>
    <xf numFmtId="0" fontId="9" fillId="0" borderId="7" xfId="2" applyFont="1" applyFill="1" applyBorder="1" applyAlignment="1" applyProtection="1">
      <alignment horizontal="left" shrinkToFit="1"/>
    </xf>
    <xf numFmtId="4" fontId="9" fillId="0" borderId="7" xfId="2" applyNumberFormat="1" applyFont="1" applyFill="1" applyBorder="1" applyAlignment="1" applyProtection="1">
      <alignment shrinkToFit="1"/>
      <protection locked="0"/>
    </xf>
    <xf numFmtId="0" fontId="24" fillId="0" borderId="7" xfId="2" applyNumberFormat="1" applyFont="1" applyFill="1" applyBorder="1" applyAlignment="1" applyProtection="1">
      <alignment horizontal="left" wrapText="1"/>
    </xf>
    <xf numFmtId="0" fontId="73" fillId="0" borderId="0" xfId="0" applyFont="1" applyFill="1" applyAlignment="1" applyProtection="1">
      <alignment horizontal="left" vertical="center"/>
      <protection locked="0"/>
    </xf>
    <xf numFmtId="0" fontId="69" fillId="0" borderId="0" xfId="0" applyFont="1" applyFill="1" applyAlignment="1" applyProtection="1">
      <alignment horizontal="left" vertical="top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6" fillId="0" borderId="0" xfId="2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7" fillId="0" borderId="0" xfId="3" applyFill="1" applyAlignment="1" applyProtection="1">
      <alignment horizontal="left" wrapText="1"/>
      <protection locked="0"/>
    </xf>
    <xf numFmtId="0" fontId="37" fillId="0" borderId="0" xfId="10" applyFont="1" applyFill="1" applyAlignment="1">
      <alignment vertical="center" wrapText="1"/>
    </xf>
    <xf numFmtId="0" fontId="2" fillId="0" borderId="0" xfId="3" applyFont="1" applyFill="1" applyAlignment="1" applyProtection="1">
      <alignment vertical="center" wrapText="1"/>
      <protection locked="0"/>
    </xf>
    <xf numFmtId="165" fontId="5" fillId="0" borderId="10" xfId="3" applyNumberFormat="1" applyFont="1" applyBorder="1" applyAlignment="1" applyProtection="1">
      <alignment horizontal="center"/>
      <protection locked="0"/>
    </xf>
    <xf numFmtId="0" fontId="8" fillId="0" borderId="11" xfId="3" applyFont="1" applyBorder="1" applyAlignment="1" applyProtection="1">
      <alignment horizontal="center"/>
      <protection locked="0"/>
    </xf>
    <xf numFmtId="0" fontId="8" fillId="0" borderId="12" xfId="3" applyFont="1" applyBorder="1" applyAlignment="1" applyProtection="1">
      <alignment horizontal="center"/>
      <protection locked="0"/>
    </xf>
    <xf numFmtId="0" fontId="7" fillId="0" borderId="0" xfId="3" applyFill="1" applyAlignment="1" applyProtection="1">
      <alignment vertical="center" wrapText="1"/>
      <protection locked="0"/>
    </xf>
    <xf numFmtId="0" fontId="2" fillId="0" borderId="0" xfId="1" applyFill="1" applyAlignment="1">
      <alignment vertical="center" wrapText="1"/>
      <protection locked="0"/>
    </xf>
  </cellXfs>
  <cellStyles count="13">
    <cellStyle name="Hypertextový odkaz" xfId="4" builtinId="8"/>
    <cellStyle name="Normální" xfId="0" builtinId="0"/>
    <cellStyle name="Normální 12" xfId="12"/>
    <cellStyle name="Normální 12 2" xfId="5"/>
    <cellStyle name="normální 13" xfId="3"/>
    <cellStyle name="normální 14" xfId="9"/>
    <cellStyle name="Normální 2" xfId="1"/>
    <cellStyle name="Normální 3" xfId="2"/>
    <cellStyle name="Normální 7" xfId="8"/>
    <cellStyle name="normální 9" xfId="6"/>
    <cellStyle name="normální 9 2" xfId="7"/>
    <cellStyle name="normální 9 4" xfId="11"/>
    <cellStyle name="normální_POL.XLS" xfId="1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70%20Nemocnice%20Frydek-Mistek\470-02%20Stav%20upravy%20ocni%20a%20ORL\4%20-%20PD\5%20-%20DSP+DPS\O&#268;N&#205;%20-%20A%20-%201.NP\ROZPOCET\ROZPOCET-EXCEL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%20z%20S\568%20-%20Reko%20objektu%20PdF%20MU%20Brno\2020-12-11%20ROZPOCET%20pro%20DPS\03%20-%20Rekonstrukce%20kancelari%20Katedry%20psychologie%202.NP\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20"/>
  <sheetViews>
    <sheetView tabSelected="1" workbookViewId="0"/>
  </sheetViews>
  <sheetFormatPr defaultRowHeight="10.5"/>
  <cols>
    <col min="1" max="1" width="11.7109375" style="4" customWidth="1"/>
    <col min="2" max="2" width="53.7109375" style="4" customWidth="1"/>
    <col min="3" max="3" width="15.7109375" style="4" customWidth="1"/>
    <col min="4" max="256" width="9.140625" style="4"/>
    <col min="257" max="257" width="11.7109375" style="4" customWidth="1"/>
    <col min="258" max="258" width="53.7109375" style="4" customWidth="1"/>
    <col min="259" max="259" width="15.7109375" style="4" customWidth="1"/>
    <col min="260" max="512" width="9.140625" style="4"/>
    <col min="513" max="513" width="11.7109375" style="4" customWidth="1"/>
    <col min="514" max="514" width="53.7109375" style="4" customWidth="1"/>
    <col min="515" max="515" width="15.7109375" style="4" customWidth="1"/>
    <col min="516" max="768" width="9.140625" style="4"/>
    <col min="769" max="769" width="11.7109375" style="4" customWidth="1"/>
    <col min="770" max="770" width="53.7109375" style="4" customWidth="1"/>
    <col min="771" max="771" width="15.7109375" style="4" customWidth="1"/>
    <col min="772" max="1024" width="9.140625" style="4"/>
    <col min="1025" max="1025" width="11.7109375" style="4" customWidth="1"/>
    <col min="1026" max="1026" width="53.7109375" style="4" customWidth="1"/>
    <col min="1027" max="1027" width="15.7109375" style="4" customWidth="1"/>
    <col min="1028" max="1280" width="9.140625" style="4"/>
    <col min="1281" max="1281" width="11.7109375" style="4" customWidth="1"/>
    <col min="1282" max="1282" width="53.7109375" style="4" customWidth="1"/>
    <col min="1283" max="1283" width="15.7109375" style="4" customWidth="1"/>
    <col min="1284" max="1536" width="9.140625" style="4"/>
    <col min="1537" max="1537" width="11.7109375" style="4" customWidth="1"/>
    <col min="1538" max="1538" width="53.7109375" style="4" customWidth="1"/>
    <col min="1539" max="1539" width="15.7109375" style="4" customWidth="1"/>
    <col min="1540" max="1792" width="9.140625" style="4"/>
    <col min="1793" max="1793" width="11.7109375" style="4" customWidth="1"/>
    <col min="1794" max="1794" width="53.7109375" style="4" customWidth="1"/>
    <col min="1795" max="1795" width="15.7109375" style="4" customWidth="1"/>
    <col min="1796" max="2048" width="9.140625" style="4"/>
    <col min="2049" max="2049" width="11.7109375" style="4" customWidth="1"/>
    <col min="2050" max="2050" width="53.7109375" style="4" customWidth="1"/>
    <col min="2051" max="2051" width="15.7109375" style="4" customWidth="1"/>
    <col min="2052" max="2304" width="9.140625" style="4"/>
    <col min="2305" max="2305" width="11.7109375" style="4" customWidth="1"/>
    <col min="2306" max="2306" width="53.7109375" style="4" customWidth="1"/>
    <col min="2307" max="2307" width="15.7109375" style="4" customWidth="1"/>
    <col min="2308" max="2560" width="9.140625" style="4"/>
    <col min="2561" max="2561" width="11.7109375" style="4" customWidth="1"/>
    <col min="2562" max="2562" width="53.7109375" style="4" customWidth="1"/>
    <col min="2563" max="2563" width="15.7109375" style="4" customWidth="1"/>
    <col min="2564" max="2816" width="9.140625" style="4"/>
    <col min="2817" max="2817" width="11.7109375" style="4" customWidth="1"/>
    <col min="2818" max="2818" width="53.7109375" style="4" customWidth="1"/>
    <col min="2819" max="2819" width="15.7109375" style="4" customWidth="1"/>
    <col min="2820" max="3072" width="9.140625" style="4"/>
    <col min="3073" max="3073" width="11.7109375" style="4" customWidth="1"/>
    <col min="3074" max="3074" width="53.7109375" style="4" customWidth="1"/>
    <col min="3075" max="3075" width="15.7109375" style="4" customWidth="1"/>
    <col min="3076" max="3328" width="9.140625" style="4"/>
    <col min="3329" max="3329" width="11.7109375" style="4" customWidth="1"/>
    <col min="3330" max="3330" width="53.7109375" style="4" customWidth="1"/>
    <col min="3331" max="3331" width="15.7109375" style="4" customWidth="1"/>
    <col min="3332" max="3584" width="9.140625" style="4"/>
    <col min="3585" max="3585" width="11.7109375" style="4" customWidth="1"/>
    <col min="3586" max="3586" width="53.7109375" style="4" customWidth="1"/>
    <col min="3587" max="3587" width="15.7109375" style="4" customWidth="1"/>
    <col min="3588" max="3840" width="9.140625" style="4"/>
    <col min="3841" max="3841" width="11.7109375" style="4" customWidth="1"/>
    <col min="3842" max="3842" width="53.7109375" style="4" customWidth="1"/>
    <col min="3843" max="3843" width="15.7109375" style="4" customWidth="1"/>
    <col min="3844" max="4096" width="9.140625" style="4"/>
    <col min="4097" max="4097" width="11.7109375" style="4" customWidth="1"/>
    <col min="4098" max="4098" width="53.7109375" style="4" customWidth="1"/>
    <col min="4099" max="4099" width="15.7109375" style="4" customWidth="1"/>
    <col min="4100" max="4352" width="9.140625" style="4"/>
    <col min="4353" max="4353" width="11.7109375" style="4" customWidth="1"/>
    <col min="4354" max="4354" width="53.7109375" style="4" customWidth="1"/>
    <col min="4355" max="4355" width="15.7109375" style="4" customWidth="1"/>
    <col min="4356" max="4608" width="9.140625" style="4"/>
    <col min="4609" max="4609" width="11.7109375" style="4" customWidth="1"/>
    <col min="4610" max="4610" width="53.7109375" style="4" customWidth="1"/>
    <col min="4611" max="4611" width="15.7109375" style="4" customWidth="1"/>
    <col min="4612" max="4864" width="9.140625" style="4"/>
    <col min="4865" max="4865" width="11.7109375" style="4" customWidth="1"/>
    <col min="4866" max="4866" width="53.7109375" style="4" customWidth="1"/>
    <col min="4867" max="4867" width="15.7109375" style="4" customWidth="1"/>
    <col min="4868" max="5120" width="9.140625" style="4"/>
    <col min="5121" max="5121" width="11.7109375" style="4" customWidth="1"/>
    <col min="5122" max="5122" width="53.7109375" style="4" customWidth="1"/>
    <col min="5123" max="5123" width="15.7109375" style="4" customWidth="1"/>
    <col min="5124" max="5376" width="9.140625" style="4"/>
    <col min="5377" max="5377" width="11.7109375" style="4" customWidth="1"/>
    <col min="5378" max="5378" width="53.7109375" style="4" customWidth="1"/>
    <col min="5379" max="5379" width="15.7109375" style="4" customWidth="1"/>
    <col min="5380" max="5632" width="9.140625" style="4"/>
    <col min="5633" max="5633" width="11.7109375" style="4" customWidth="1"/>
    <col min="5634" max="5634" width="53.7109375" style="4" customWidth="1"/>
    <col min="5635" max="5635" width="15.7109375" style="4" customWidth="1"/>
    <col min="5636" max="5888" width="9.140625" style="4"/>
    <col min="5889" max="5889" width="11.7109375" style="4" customWidth="1"/>
    <col min="5890" max="5890" width="53.7109375" style="4" customWidth="1"/>
    <col min="5891" max="5891" width="15.7109375" style="4" customWidth="1"/>
    <col min="5892" max="6144" width="9.140625" style="4"/>
    <col min="6145" max="6145" width="11.7109375" style="4" customWidth="1"/>
    <col min="6146" max="6146" width="53.7109375" style="4" customWidth="1"/>
    <col min="6147" max="6147" width="15.7109375" style="4" customWidth="1"/>
    <col min="6148" max="6400" width="9.140625" style="4"/>
    <col min="6401" max="6401" width="11.7109375" style="4" customWidth="1"/>
    <col min="6402" max="6402" width="53.7109375" style="4" customWidth="1"/>
    <col min="6403" max="6403" width="15.7109375" style="4" customWidth="1"/>
    <col min="6404" max="6656" width="9.140625" style="4"/>
    <col min="6657" max="6657" width="11.7109375" style="4" customWidth="1"/>
    <col min="6658" max="6658" width="53.7109375" style="4" customWidth="1"/>
    <col min="6659" max="6659" width="15.7109375" style="4" customWidth="1"/>
    <col min="6660" max="6912" width="9.140625" style="4"/>
    <col min="6913" max="6913" width="11.7109375" style="4" customWidth="1"/>
    <col min="6914" max="6914" width="53.7109375" style="4" customWidth="1"/>
    <col min="6915" max="6915" width="15.7109375" style="4" customWidth="1"/>
    <col min="6916" max="7168" width="9.140625" style="4"/>
    <col min="7169" max="7169" width="11.7109375" style="4" customWidth="1"/>
    <col min="7170" max="7170" width="53.7109375" style="4" customWidth="1"/>
    <col min="7171" max="7171" width="15.7109375" style="4" customWidth="1"/>
    <col min="7172" max="7424" width="9.140625" style="4"/>
    <col min="7425" max="7425" width="11.7109375" style="4" customWidth="1"/>
    <col min="7426" max="7426" width="53.7109375" style="4" customWidth="1"/>
    <col min="7427" max="7427" width="15.7109375" style="4" customWidth="1"/>
    <col min="7428" max="7680" width="9.140625" style="4"/>
    <col min="7681" max="7681" width="11.7109375" style="4" customWidth="1"/>
    <col min="7682" max="7682" width="53.7109375" style="4" customWidth="1"/>
    <col min="7683" max="7683" width="15.7109375" style="4" customWidth="1"/>
    <col min="7684" max="7936" width="9.140625" style="4"/>
    <col min="7937" max="7937" width="11.7109375" style="4" customWidth="1"/>
    <col min="7938" max="7938" width="53.7109375" style="4" customWidth="1"/>
    <col min="7939" max="7939" width="15.7109375" style="4" customWidth="1"/>
    <col min="7940" max="8192" width="9.140625" style="4"/>
    <col min="8193" max="8193" width="11.7109375" style="4" customWidth="1"/>
    <col min="8194" max="8194" width="53.7109375" style="4" customWidth="1"/>
    <col min="8195" max="8195" width="15.7109375" style="4" customWidth="1"/>
    <col min="8196" max="8448" width="9.140625" style="4"/>
    <col min="8449" max="8449" width="11.7109375" style="4" customWidth="1"/>
    <col min="8450" max="8450" width="53.7109375" style="4" customWidth="1"/>
    <col min="8451" max="8451" width="15.7109375" style="4" customWidth="1"/>
    <col min="8452" max="8704" width="9.140625" style="4"/>
    <col min="8705" max="8705" width="11.7109375" style="4" customWidth="1"/>
    <col min="8706" max="8706" width="53.7109375" style="4" customWidth="1"/>
    <col min="8707" max="8707" width="15.7109375" style="4" customWidth="1"/>
    <col min="8708" max="8960" width="9.140625" style="4"/>
    <col min="8961" max="8961" width="11.7109375" style="4" customWidth="1"/>
    <col min="8962" max="8962" width="53.7109375" style="4" customWidth="1"/>
    <col min="8963" max="8963" width="15.7109375" style="4" customWidth="1"/>
    <col min="8964" max="9216" width="9.140625" style="4"/>
    <col min="9217" max="9217" width="11.7109375" style="4" customWidth="1"/>
    <col min="9218" max="9218" width="53.7109375" style="4" customWidth="1"/>
    <col min="9219" max="9219" width="15.7109375" style="4" customWidth="1"/>
    <col min="9220" max="9472" width="9.140625" style="4"/>
    <col min="9473" max="9473" width="11.7109375" style="4" customWidth="1"/>
    <col min="9474" max="9474" width="53.7109375" style="4" customWidth="1"/>
    <col min="9475" max="9475" width="15.7109375" style="4" customWidth="1"/>
    <col min="9476" max="9728" width="9.140625" style="4"/>
    <col min="9729" max="9729" width="11.7109375" style="4" customWidth="1"/>
    <col min="9730" max="9730" width="53.7109375" style="4" customWidth="1"/>
    <col min="9731" max="9731" width="15.7109375" style="4" customWidth="1"/>
    <col min="9732" max="9984" width="9.140625" style="4"/>
    <col min="9985" max="9985" width="11.7109375" style="4" customWidth="1"/>
    <col min="9986" max="9986" width="53.7109375" style="4" customWidth="1"/>
    <col min="9987" max="9987" width="15.7109375" style="4" customWidth="1"/>
    <col min="9988" max="10240" width="9.140625" style="4"/>
    <col min="10241" max="10241" width="11.7109375" style="4" customWidth="1"/>
    <col min="10242" max="10242" width="53.7109375" style="4" customWidth="1"/>
    <col min="10243" max="10243" width="15.7109375" style="4" customWidth="1"/>
    <col min="10244" max="10496" width="9.140625" style="4"/>
    <col min="10497" max="10497" width="11.7109375" style="4" customWidth="1"/>
    <col min="10498" max="10498" width="53.7109375" style="4" customWidth="1"/>
    <col min="10499" max="10499" width="15.7109375" style="4" customWidth="1"/>
    <col min="10500" max="10752" width="9.140625" style="4"/>
    <col min="10753" max="10753" width="11.7109375" style="4" customWidth="1"/>
    <col min="10754" max="10754" width="53.7109375" style="4" customWidth="1"/>
    <col min="10755" max="10755" width="15.7109375" style="4" customWidth="1"/>
    <col min="10756" max="11008" width="9.140625" style="4"/>
    <col min="11009" max="11009" width="11.7109375" style="4" customWidth="1"/>
    <col min="11010" max="11010" width="53.7109375" style="4" customWidth="1"/>
    <col min="11011" max="11011" width="15.7109375" style="4" customWidth="1"/>
    <col min="11012" max="11264" width="9.140625" style="4"/>
    <col min="11265" max="11265" width="11.7109375" style="4" customWidth="1"/>
    <col min="11266" max="11266" width="53.7109375" style="4" customWidth="1"/>
    <col min="11267" max="11267" width="15.7109375" style="4" customWidth="1"/>
    <col min="11268" max="11520" width="9.140625" style="4"/>
    <col min="11521" max="11521" width="11.7109375" style="4" customWidth="1"/>
    <col min="11522" max="11522" width="53.7109375" style="4" customWidth="1"/>
    <col min="11523" max="11523" width="15.7109375" style="4" customWidth="1"/>
    <col min="11524" max="11776" width="9.140625" style="4"/>
    <col min="11777" max="11777" width="11.7109375" style="4" customWidth="1"/>
    <col min="11778" max="11778" width="53.7109375" style="4" customWidth="1"/>
    <col min="11779" max="11779" width="15.7109375" style="4" customWidth="1"/>
    <col min="11780" max="12032" width="9.140625" style="4"/>
    <col min="12033" max="12033" width="11.7109375" style="4" customWidth="1"/>
    <col min="12034" max="12034" width="53.7109375" style="4" customWidth="1"/>
    <col min="12035" max="12035" width="15.7109375" style="4" customWidth="1"/>
    <col min="12036" max="12288" width="9.140625" style="4"/>
    <col min="12289" max="12289" width="11.7109375" style="4" customWidth="1"/>
    <col min="12290" max="12290" width="53.7109375" style="4" customWidth="1"/>
    <col min="12291" max="12291" width="15.7109375" style="4" customWidth="1"/>
    <col min="12292" max="12544" width="9.140625" style="4"/>
    <col min="12545" max="12545" width="11.7109375" style="4" customWidth="1"/>
    <col min="12546" max="12546" width="53.7109375" style="4" customWidth="1"/>
    <col min="12547" max="12547" width="15.7109375" style="4" customWidth="1"/>
    <col min="12548" max="12800" width="9.140625" style="4"/>
    <col min="12801" max="12801" width="11.7109375" style="4" customWidth="1"/>
    <col min="12802" max="12802" width="53.7109375" style="4" customWidth="1"/>
    <col min="12803" max="12803" width="15.7109375" style="4" customWidth="1"/>
    <col min="12804" max="13056" width="9.140625" style="4"/>
    <col min="13057" max="13057" width="11.7109375" style="4" customWidth="1"/>
    <col min="13058" max="13058" width="53.7109375" style="4" customWidth="1"/>
    <col min="13059" max="13059" width="15.7109375" style="4" customWidth="1"/>
    <col min="13060" max="13312" width="9.140625" style="4"/>
    <col min="13313" max="13313" width="11.7109375" style="4" customWidth="1"/>
    <col min="13314" max="13314" width="53.7109375" style="4" customWidth="1"/>
    <col min="13315" max="13315" width="15.7109375" style="4" customWidth="1"/>
    <col min="13316" max="13568" width="9.140625" style="4"/>
    <col min="13569" max="13569" width="11.7109375" style="4" customWidth="1"/>
    <col min="13570" max="13570" width="53.7109375" style="4" customWidth="1"/>
    <col min="13571" max="13571" width="15.7109375" style="4" customWidth="1"/>
    <col min="13572" max="13824" width="9.140625" style="4"/>
    <col min="13825" max="13825" width="11.7109375" style="4" customWidth="1"/>
    <col min="13826" max="13826" width="53.7109375" style="4" customWidth="1"/>
    <col min="13827" max="13827" width="15.7109375" style="4" customWidth="1"/>
    <col min="13828" max="14080" width="9.140625" style="4"/>
    <col min="14081" max="14081" width="11.7109375" style="4" customWidth="1"/>
    <col min="14082" max="14082" width="53.7109375" style="4" customWidth="1"/>
    <col min="14083" max="14083" width="15.7109375" style="4" customWidth="1"/>
    <col min="14084" max="14336" width="9.140625" style="4"/>
    <col min="14337" max="14337" width="11.7109375" style="4" customWidth="1"/>
    <col min="14338" max="14338" width="53.7109375" style="4" customWidth="1"/>
    <col min="14339" max="14339" width="15.7109375" style="4" customWidth="1"/>
    <col min="14340" max="14592" width="9.140625" style="4"/>
    <col min="14593" max="14593" width="11.7109375" style="4" customWidth="1"/>
    <col min="14594" max="14594" width="53.7109375" style="4" customWidth="1"/>
    <col min="14595" max="14595" width="15.7109375" style="4" customWidth="1"/>
    <col min="14596" max="14848" width="9.140625" style="4"/>
    <col min="14849" max="14849" width="11.7109375" style="4" customWidth="1"/>
    <col min="14850" max="14850" width="53.7109375" style="4" customWidth="1"/>
    <col min="14851" max="14851" width="15.7109375" style="4" customWidth="1"/>
    <col min="14852" max="15104" width="9.140625" style="4"/>
    <col min="15105" max="15105" width="11.7109375" style="4" customWidth="1"/>
    <col min="15106" max="15106" width="53.7109375" style="4" customWidth="1"/>
    <col min="15107" max="15107" width="15.7109375" style="4" customWidth="1"/>
    <col min="15108" max="15360" width="9.140625" style="4"/>
    <col min="15361" max="15361" width="11.7109375" style="4" customWidth="1"/>
    <col min="15362" max="15362" width="53.7109375" style="4" customWidth="1"/>
    <col min="15363" max="15363" width="15.7109375" style="4" customWidth="1"/>
    <col min="15364" max="15616" width="9.140625" style="4"/>
    <col min="15617" max="15617" width="11.7109375" style="4" customWidth="1"/>
    <col min="15618" max="15618" width="53.7109375" style="4" customWidth="1"/>
    <col min="15619" max="15619" width="15.7109375" style="4" customWidth="1"/>
    <col min="15620" max="15872" width="9.140625" style="4"/>
    <col min="15873" max="15873" width="11.7109375" style="4" customWidth="1"/>
    <col min="15874" max="15874" width="53.7109375" style="4" customWidth="1"/>
    <col min="15875" max="15875" width="15.7109375" style="4" customWidth="1"/>
    <col min="15876" max="16128" width="9.140625" style="4"/>
    <col min="16129" max="16129" width="11.7109375" style="4" customWidth="1"/>
    <col min="16130" max="16130" width="53.7109375" style="4" customWidth="1"/>
    <col min="16131" max="16131" width="15.7109375" style="4" customWidth="1"/>
    <col min="16132" max="16384" width="9.140625" style="4"/>
  </cols>
  <sheetData>
    <row r="1" spans="1:254" ht="20.25" customHeight="1">
      <c r="A1" s="1" t="s">
        <v>0</v>
      </c>
      <c r="B1" s="2"/>
      <c r="C1" s="2"/>
      <c r="D1" s="3"/>
    </row>
    <row r="2" spans="1:254" s="5" customFormat="1" ht="13.5" customHeight="1">
      <c r="A2" s="411" t="s">
        <v>1</v>
      </c>
      <c r="B2" s="412"/>
      <c r="C2" s="412"/>
      <c r="D2" s="412"/>
      <c r="E2" s="412"/>
      <c r="F2" s="412"/>
      <c r="G2" s="412"/>
      <c r="H2" s="412"/>
      <c r="I2" s="412"/>
    </row>
    <row r="3" spans="1:254" s="8" customFormat="1" ht="13.5" customHeight="1">
      <c r="A3" s="413" t="s">
        <v>66</v>
      </c>
      <c r="B3" s="414"/>
      <c r="C3" s="414"/>
      <c r="D3" s="414"/>
      <c r="E3" s="6"/>
      <c r="F3" s="6"/>
      <c r="G3" s="7"/>
      <c r="N3" s="9"/>
      <c r="X3" s="9"/>
    </row>
    <row r="4" spans="1:254" s="12" customFormat="1" ht="13.5" customHeight="1">
      <c r="A4" s="10" t="s">
        <v>2</v>
      </c>
      <c r="B4" s="11"/>
      <c r="C4" s="11"/>
      <c r="E4" s="6"/>
      <c r="F4" s="13"/>
      <c r="AF4" s="3"/>
      <c r="AG4" s="3"/>
      <c r="AH4" s="3"/>
    </row>
    <row r="5" spans="1:254" ht="13.5" customHeight="1">
      <c r="A5" s="14"/>
      <c r="B5" s="14"/>
      <c r="C5" s="14"/>
      <c r="D5" s="3"/>
    </row>
    <row r="6" spans="1:254" ht="23.25" customHeight="1">
      <c r="A6" s="15" t="s">
        <v>3</v>
      </c>
      <c r="B6" s="16" t="s">
        <v>4</v>
      </c>
      <c r="C6" s="17" t="s">
        <v>5</v>
      </c>
      <c r="D6" s="3"/>
    </row>
    <row r="7" spans="1:254" ht="12.6" customHeight="1">
      <c r="A7" s="18">
        <v>1</v>
      </c>
      <c r="B7" s="19">
        <v>2</v>
      </c>
      <c r="C7" s="20">
        <v>3</v>
      </c>
      <c r="D7" s="21"/>
    </row>
    <row r="8" spans="1:254" ht="21" customHeight="1">
      <c r="A8" s="22"/>
      <c r="B8" s="23"/>
      <c r="C8" s="23"/>
      <c r="D8" s="24"/>
    </row>
    <row r="9" spans="1:254" s="24" customFormat="1" ht="13.5" customHeight="1">
      <c r="A9" s="25" t="s">
        <v>6</v>
      </c>
      <c r="B9" s="26" t="s">
        <v>7</v>
      </c>
      <c r="C9" s="27">
        <f>SUM(C10:C13)</f>
        <v>0</v>
      </c>
      <c r="D9" s="28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s="24" customFormat="1" ht="13.5" customHeight="1">
      <c r="A10" s="29">
        <v>3</v>
      </c>
      <c r="B10" s="30" t="s">
        <v>67</v>
      </c>
      <c r="C10" s="31">
        <f>'NOVÝ STAV'!H10</f>
        <v>0</v>
      </c>
      <c r="D10" s="28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s="24" customFormat="1" ht="13.5" customHeight="1">
      <c r="A11" s="29">
        <v>6</v>
      </c>
      <c r="B11" s="30" t="s">
        <v>8</v>
      </c>
      <c r="C11" s="31">
        <f>'NOVÝ STAV'!H59</f>
        <v>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s="24" customFormat="1" ht="13.5" customHeight="1">
      <c r="A12" s="29">
        <v>9</v>
      </c>
      <c r="B12" s="30" t="s">
        <v>9</v>
      </c>
      <c r="C12" s="31">
        <f>'NOVÝ STAV'!H141</f>
        <v>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s="24" customFormat="1" ht="13.5" customHeight="1">
      <c r="A13" s="32">
        <v>99</v>
      </c>
      <c r="B13" s="33" t="s">
        <v>10</v>
      </c>
      <c r="C13" s="34">
        <f>'NOVÝ STAV'!H171</f>
        <v>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s="24" customFormat="1" ht="13.5" customHeight="1">
      <c r="A14" s="25" t="s">
        <v>11</v>
      </c>
      <c r="B14" s="26" t="s">
        <v>12</v>
      </c>
      <c r="C14" s="27">
        <f>SUM(C15:C19)</f>
        <v>0</v>
      </c>
      <c r="D14" s="2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s="24" customFormat="1" ht="13.5" customHeight="1">
      <c r="A15" s="224">
        <v>763</v>
      </c>
      <c r="B15" s="225" t="s">
        <v>68</v>
      </c>
      <c r="C15" s="31">
        <f>'NOVÝ STAV'!H176</f>
        <v>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s="24" customFormat="1" ht="13.5" customHeight="1">
      <c r="A16" s="29">
        <v>771</v>
      </c>
      <c r="B16" s="30" t="s">
        <v>69</v>
      </c>
      <c r="C16" s="31">
        <f>'NOVÝ STAV'!H269</f>
        <v>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s="24" customFormat="1" ht="13.5" customHeight="1">
      <c r="A17" s="29">
        <v>781</v>
      </c>
      <c r="B17" s="30" t="s">
        <v>70</v>
      </c>
      <c r="C17" s="31">
        <f>'NOVÝ STAV'!H303</f>
        <v>0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s="24" customFormat="1" ht="13.5" customHeight="1">
      <c r="A18" s="29">
        <v>784</v>
      </c>
      <c r="B18" s="30" t="s">
        <v>71</v>
      </c>
      <c r="C18" s="31">
        <f>'NOVÝ STAV'!H331</f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s="24" customFormat="1" ht="13.5" customHeight="1">
      <c r="A19" s="29">
        <v>790</v>
      </c>
      <c r="B19" s="30" t="s">
        <v>13</v>
      </c>
      <c r="C19" s="31">
        <f>'NOVÝ STAV'!H391</f>
        <v>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21" customHeight="1">
      <c r="A20" s="35"/>
      <c r="B20" s="36" t="s">
        <v>72</v>
      </c>
      <c r="C20" s="37">
        <f>C14+C9</f>
        <v>0</v>
      </c>
      <c r="D20" s="24"/>
    </row>
  </sheetData>
  <mergeCells count="2">
    <mergeCell ref="A2:I2"/>
    <mergeCell ref="A3:D3"/>
  </mergeCells>
  <printOptions horizontalCentered="1"/>
  <pageMargins left="0.39370078740157483" right="0.39370078740157483" top="0.78740157480314965" bottom="0.39370078740157483" header="0.51181102362204722" footer="0.51181102362204722"/>
  <pageSetup paperSize="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4"/>
  <sheetViews>
    <sheetView zoomScaleNormal="100" workbookViewId="0"/>
  </sheetViews>
  <sheetFormatPr defaultColWidth="9" defaultRowHeight="12" customHeight="1"/>
  <cols>
    <col min="1" max="1" width="4.140625" style="22" customWidth="1"/>
    <col min="2" max="2" width="4.28515625" style="23" customWidth="1"/>
    <col min="3" max="3" width="13.5703125" style="23" customWidth="1"/>
    <col min="4" max="4" width="65" style="23" customWidth="1"/>
    <col min="5" max="5" width="6.7109375" style="23" customWidth="1"/>
    <col min="6" max="6" width="8.42578125" style="204" customWidth="1"/>
    <col min="7" max="7" width="10" style="205" customWidth="1"/>
    <col min="8" max="8" width="15.7109375" style="205" customWidth="1"/>
    <col min="9" max="9" width="18.140625" style="206" customWidth="1"/>
    <col min="10" max="10" width="19.28515625" style="206" customWidth="1"/>
    <col min="11" max="11" width="13.85546875" style="206" customWidth="1"/>
    <col min="12" max="14" width="11.5703125" style="206" customWidth="1"/>
    <col min="15" max="15" width="10.28515625" style="206" bestFit="1" customWidth="1"/>
    <col min="16" max="16" width="15.85546875" style="206" customWidth="1"/>
    <col min="17" max="17" width="17" style="206" customWidth="1"/>
    <col min="18" max="18" width="17.42578125" style="206" customWidth="1"/>
    <col min="19" max="101" width="9" style="206"/>
    <col min="102" max="256" width="9" style="24"/>
    <col min="257" max="257" width="4.140625" style="24" customWidth="1"/>
    <col min="258" max="258" width="4.28515625" style="24" customWidth="1"/>
    <col min="259" max="259" width="13.5703125" style="24" customWidth="1"/>
    <col min="260" max="260" width="65" style="24" customWidth="1"/>
    <col min="261" max="261" width="6.7109375" style="24" customWidth="1"/>
    <col min="262" max="262" width="8.42578125" style="24" customWidth="1"/>
    <col min="263" max="263" width="10" style="24" customWidth="1"/>
    <col min="264" max="264" width="15.7109375" style="24" customWidth="1"/>
    <col min="265" max="265" width="18.140625" style="24" customWidth="1"/>
    <col min="266" max="266" width="19.28515625" style="24" customWidth="1"/>
    <col min="267" max="267" width="13.85546875" style="24" customWidth="1"/>
    <col min="268" max="270" width="11.5703125" style="24" customWidth="1"/>
    <col min="271" max="271" width="10.28515625" style="24" bestFit="1" customWidth="1"/>
    <col min="272" max="272" width="15.85546875" style="24" customWidth="1"/>
    <col min="273" max="273" width="17" style="24" customWidth="1"/>
    <col min="274" max="274" width="17.42578125" style="24" customWidth="1"/>
    <col min="275" max="512" width="9" style="24"/>
    <col min="513" max="513" width="4.140625" style="24" customWidth="1"/>
    <col min="514" max="514" width="4.28515625" style="24" customWidth="1"/>
    <col min="515" max="515" width="13.5703125" style="24" customWidth="1"/>
    <col min="516" max="516" width="65" style="24" customWidth="1"/>
    <col min="517" max="517" width="6.7109375" style="24" customWidth="1"/>
    <col min="518" max="518" width="8.42578125" style="24" customWidth="1"/>
    <col min="519" max="519" width="10" style="24" customWidth="1"/>
    <col min="520" max="520" width="15.7109375" style="24" customWidth="1"/>
    <col min="521" max="521" width="18.140625" style="24" customWidth="1"/>
    <col min="522" max="522" width="19.28515625" style="24" customWidth="1"/>
    <col min="523" max="523" width="13.85546875" style="24" customWidth="1"/>
    <col min="524" max="526" width="11.5703125" style="24" customWidth="1"/>
    <col min="527" max="527" width="10.28515625" style="24" bestFit="1" customWidth="1"/>
    <col min="528" max="528" width="15.85546875" style="24" customWidth="1"/>
    <col min="529" max="529" width="17" style="24" customWidth="1"/>
    <col min="530" max="530" width="17.42578125" style="24" customWidth="1"/>
    <col min="531" max="768" width="9" style="24"/>
    <col min="769" max="769" width="4.140625" style="24" customWidth="1"/>
    <col min="770" max="770" width="4.28515625" style="24" customWidth="1"/>
    <col min="771" max="771" width="13.5703125" style="24" customWidth="1"/>
    <col min="772" max="772" width="65" style="24" customWidth="1"/>
    <col min="773" max="773" width="6.7109375" style="24" customWidth="1"/>
    <col min="774" max="774" width="8.42578125" style="24" customWidth="1"/>
    <col min="775" max="775" width="10" style="24" customWidth="1"/>
    <col min="776" max="776" width="15.7109375" style="24" customWidth="1"/>
    <col min="777" max="777" width="18.140625" style="24" customWidth="1"/>
    <col min="778" max="778" width="19.28515625" style="24" customWidth="1"/>
    <col min="779" max="779" width="13.85546875" style="24" customWidth="1"/>
    <col min="780" max="782" width="11.5703125" style="24" customWidth="1"/>
    <col min="783" max="783" width="10.28515625" style="24" bestFit="1" customWidth="1"/>
    <col min="784" max="784" width="15.85546875" style="24" customWidth="1"/>
    <col min="785" max="785" width="17" style="24" customWidth="1"/>
    <col min="786" max="786" width="17.42578125" style="24" customWidth="1"/>
    <col min="787" max="1024" width="9" style="24"/>
    <col min="1025" max="1025" width="4.140625" style="24" customWidth="1"/>
    <col min="1026" max="1026" width="4.28515625" style="24" customWidth="1"/>
    <col min="1027" max="1027" width="13.5703125" style="24" customWidth="1"/>
    <col min="1028" max="1028" width="65" style="24" customWidth="1"/>
    <col min="1029" max="1029" width="6.7109375" style="24" customWidth="1"/>
    <col min="1030" max="1030" width="8.42578125" style="24" customWidth="1"/>
    <col min="1031" max="1031" width="10" style="24" customWidth="1"/>
    <col min="1032" max="1032" width="15.7109375" style="24" customWidth="1"/>
    <col min="1033" max="1033" width="18.140625" style="24" customWidth="1"/>
    <col min="1034" max="1034" width="19.28515625" style="24" customWidth="1"/>
    <col min="1035" max="1035" width="13.85546875" style="24" customWidth="1"/>
    <col min="1036" max="1038" width="11.5703125" style="24" customWidth="1"/>
    <col min="1039" max="1039" width="10.28515625" style="24" bestFit="1" customWidth="1"/>
    <col min="1040" max="1040" width="15.85546875" style="24" customWidth="1"/>
    <col min="1041" max="1041" width="17" style="24" customWidth="1"/>
    <col min="1042" max="1042" width="17.42578125" style="24" customWidth="1"/>
    <col min="1043" max="1280" width="9" style="24"/>
    <col min="1281" max="1281" width="4.140625" style="24" customWidth="1"/>
    <col min="1282" max="1282" width="4.28515625" style="24" customWidth="1"/>
    <col min="1283" max="1283" width="13.5703125" style="24" customWidth="1"/>
    <col min="1284" max="1284" width="65" style="24" customWidth="1"/>
    <col min="1285" max="1285" width="6.7109375" style="24" customWidth="1"/>
    <col min="1286" max="1286" width="8.42578125" style="24" customWidth="1"/>
    <col min="1287" max="1287" width="10" style="24" customWidth="1"/>
    <col min="1288" max="1288" width="15.7109375" style="24" customWidth="1"/>
    <col min="1289" max="1289" width="18.140625" style="24" customWidth="1"/>
    <col min="1290" max="1290" width="19.28515625" style="24" customWidth="1"/>
    <col min="1291" max="1291" width="13.85546875" style="24" customWidth="1"/>
    <col min="1292" max="1294" width="11.5703125" style="24" customWidth="1"/>
    <col min="1295" max="1295" width="10.28515625" style="24" bestFit="1" customWidth="1"/>
    <col min="1296" max="1296" width="15.85546875" style="24" customWidth="1"/>
    <col min="1297" max="1297" width="17" style="24" customWidth="1"/>
    <col min="1298" max="1298" width="17.42578125" style="24" customWidth="1"/>
    <col min="1299" max="1536" width="9" style="24"/>
    <col min="1537" max="1537" width="4.140625" style="24" customWidth="1"/>
    <col min="1538" max="1538" width="4.28515625" style="24" customWidth="1"/>
    <col min="1539" max="1539" width="13.5703125" style="24" customWidth="1"/>
    <col min="1540" max="1540" width="65" style="24" customWidth="1"/>
    <col min="1541" max="1541" width="6.7109375" style="24" customWidth="1"/>
    <col min="1542" max="1542" width="8.42578125" style="24" customWidth="1"/>
    <col min="1543" max="1543" width="10" style="24" customWidth="1"/>
    <col min="1544" max="1544" width="15.7109375" style="24" customWidth="1"/>
    <col min="1545" max="1545" width="18.140625" style="24" customWidth="1"/>
    <col min="1546" max="1546" width="19.28515625" style="24" customWidth="1"/>
    <col min="1547" max="1547" width="13.85546875" style="24" customWidth="1"/>
    <col min="1548" max="1550" width="11.5703125" style="24" customWidth="1"/>
    <col min="1551" max="1551" width="10.28515625" style="24" bestFit="1" customWidth="1"/>
    <col min="1552" max="1552" width="15.85546875" style="24" customWidth="1"/>
    <col min="1553" max="1553" width="17" style="24" customWidth="1"/>
    <col min="1554" max="1554" width="17.42578125" style="24" customWidth="1"/>
    <col min="1555" max="1792" width="9" style="24"/>
    <col min="1793" max="1793" width="4.140625" style="24" customWidth="1"/>
    <col min="1794" max="1794" width="4.28515625" style="24" customWidth="1"/>
    <col min="1795" max="1795" width="13.5703125" style="24" customWidth="1"/>
    <col min="1796" max="1796" width="65" style="24" customWidth="1"/>
    <col min="1797" max="1797" width="6.7109375" style="24" customWidth="1"/>
    <col min="1798" max="1798" width="8.42578125" style="24" customWidth="1"/>
    <col min="1799" max="1799" width="10" style="24" customWidth="1"/>
    <col min="1800" max="1800" width="15.7109375" style="24" customWidth="1"/>
    <col min="1801" max="1801" width="18.140625" style="24" customWidth="1"/>
    <col min="1802" max="1802" width="19.28515625" style="24" customWidth="1"/>
    <col min="1803" max="1803" width="13.85546875" style="24" customWidth="1"/>
    <col min="1804" max="1806" width="11.5703125" style="24" customWidth="1"/>
    <col min="1807" max="1807" width="10.28515625" style="24" bestFit="1" customWidth="1"/>
    <col min="1808" max="1808" width="15.85546875" style="24" customWidth="1"/>
    <col min="1809" max="1809" width="17" style="24" customWidth="1"/>
    <col min="1810" max="1810" width="17.42578125" style="24" customWidth="1"/>
    <col min="1811" max="2048" width="9" style="24"/>
    <col min="2049" max="2049" width="4.140625" style="24" customWidth="1"/>
    <col min="2050" max="2050" width="4.28515625" style="24" customWidth="1"/>
    <col min="2051" max="2051" width="13.5703125" style="24" customWidth="1"/>
    <col min="2052" max="2052" width="65" style="24" customWidth="1"/>
    <col min="2053" max="2053" width="6.7109375" style="24" customWidth="1"/>
    <col min="2054" max="2054" width="8.42578125" style="24" customWidth="1"/>
    <col min="2055" max="2055" width="10" style="24" customWidth="1"/>
    <col min="2056" max="2056" width="15.7109375" style="24" customWidth="1"/>
    <col min="2057" max="2057" width="18.140625" style="24" customWidth="1"/>
    <col min="2058" max="2058" width="19.28515625" style="24" customWidth="1"/>
    <col min="2059" max="2059" width="13.85546875" style="24" customWidth="1"/>
    <col min="2060" max="2062" width="11.5703125" style="24" customWidth="1"/>
    <col min="2063" max="2063" width="10.28515625" style="24" bestFit="1" customWidth="1"/>
    <col min="2064" max="2064" width="15.85546875" style="24" customWidth="1"/>
    <col min="2065" max="2065" width="17" style="24" customWidth="1"/>
    <col min="2066" max="2066" width="17.42578125" style="24" customWidth="1"/>
    <col min="2067" max="2304" width="9" style="24"/>
    <col min="2305" max="2305" width="4.140625" style="24" customWidth="1"/>
    <col min="2306" max="2306" width="4.28515625" style="24" customWidth="1"/>
    <col min="2307" max="2307" width="13.5703125" style="24" customWidth="1"/>
    <col min="2308" max="2308" width="65" style="24" customWidth="1"/>
    <col min="2309" max="2309" width="6.7109375" style="24" customWidth="1"/>
    <col min="2310" max="2310" width="8.42578125" style="24" customWidth="1"/>
    <col min="2311" max="2311" width="10" style="24" customWidth="1"/>
    <col min="2312" max="2312" width="15.7109375" style="24" customWidth="1"/>
    <col min="2313" max="2313" width="18.140625" style="24" customWidth="1"/>
    <col min="2314" max="2314" width="19.28515625" style="24" customWidth="1"/>
    <col min="2315" max="2315" width="13.85546875" style="24" customWidth="1"/>
    <col min="2316" max="2318" width="11.5703125" style="24" customWidth="1"/>
    <col min="2319" max="2319" width="10.28515625" style="24" bestFit="1" customWidth="1"/>
    <col min="2320" max="2320" width="15.85546875" style="24" customWidth="1"/>
    <col min="2321" max="2321" width="17" style="24" customWidth="1"/>
    <col min="2322" max="2322" width="17.42578125" style="24" customWidth="1"/>
    <col min="2323" max="2560" width="9" style="24"/>
    <col min="2561" max="2561" width="4.140625" style="24" customWidth="1"/>
    <col min="2562" max="2562" width="4.28515625" style="24" customWidth="1"/>
    <col min="2563" max="2563" width="13.5703125" style="24" customWidth="1"/>
    <col min="2564" max="2564" width="65" style="24" customWidth="1"/>
    <col min="2565" max="2565" width="6.7109375" style="24" customWidth="1"/>
    <col min="2566" max="2566" width="8.42578125" style="24" customWidth="1"/>
    <col min="2567" max="2567" width="10" style="24" customWidth="1"/>
    <col min="2568" max="2568" width="15.7109375" style="24" customWidth="1"/>
    <col min="2569" max="2569" width="18.140625" style="24" customWidth="1"/>
    <col min="2570" max="2570" width="19.28515625" style="24" customWidth="1"/>
    <col min="2571" max="2571" width="13.85546875" style="24" customWidth="1"/>
    <col min="2572" max="2574" width="11.5703125" style="24" customWidth="1"/>
    <col min="2575" max="2575" width="10.28515625" style="24" bestFit="1" customWidth="1"/>
    <col min="2576" max="2576" width="15.85546875" style="24" customWidth="1"/>
    <col min="2577" max="2577" width="17" style="24" customWidth="1"/>
    <col min="2578" max="2578" width="17.42578125" style="24" customWidth="1"/>
    <col min="2579" max="2816" width="9" style="24"/>
    <col min="2817" max="2817" width="4.140625" style="24" customWidth="1"/>
    <col min="2818" max="2818" width="4.28515625" style="24" customWidth="1"/>
    <col min="2819" max="2819" width="13.5703125" style="24" customWidth="1"/>
    <col min="2820" max="2820" width="65" style="24" customWidth="1"/>
    <col min="2821" max="2821" width="6.7109375" style="24" customWidth="1"/>
    <col min="2822" max="2822" width="8.42578125" style="24" customWidth="1"/>
    <col min="2823" max="2823" width="10" style="24" customWidth="1"/>
    <col min="2824" max="2824" width="15.7109375" style="24" customWidth="1"/>
    <col min="2825" max="2825" width="18.140625" style="24" customWidth="1"/>
    <col min="2826" max="2826" width="19.28515625" style="24" customWidth="1"/>
    <col min="2827" max="2827" width="13.85546875" style="24" customWidth="1"/>
    <col min="2828" max="2830" width="11.5703125" style="24" customWidth="1"/>
    <col min="2831" max="2831" width="10.28515625" style="24" bestFit="1" customWidth="1"/>
    <col min="2832" max="2832" width="15.85546875" style="24" customWidth="1"/>
    <col min="2833" max="2833" width="17" style="24" customWidth="1"/>
    <col min="2834" max="2834" width="17.42578125" style="24" customWidth="1"/>
    <col min="2835" max="3072" width="9" style="24"/>
    <col min="3073" max="3073" width="4.140625" style="24" customWidth="1"/>
    <col min="3074" max="3074" width="4.28515625" style="24" customWidth="1"/>
    <col min="3075" max="3075" width="13.5703125" style="24" customWidth="1"/>
    <col min="3076" max="3076" width="65" style="24" customWidth="1"/>
    <col min="3077" max="3077" width="6.7109375" style="24" customWidth="1"/>
    <col min="3078" max="3078" width="8.42578125" style="24" customWidth="1"/>
    <col min="3079" max="3079" width="10" style="24" customWidth="1"/>
    <col min="3080" max="3080" width="15.7109375" style="24" customWidth="1"/>
    <col min="3081" max="3081" width="18.140625" style="24" customWidth="1"/>
    <col min="3082" max="3082" width="19.28515625" style="24" customWidth="1"/>
    <col min="3083" max="3083" width="13.85546875" style="24" customWidth="1"/>
    <col min="3084" max="3086" width="11.5703125" style="24" customWidth="1"/>
    <col min="3087" max="3087" width="10.28515625" style="24" bestFit="1" customWidth="1"/>
    <col min="3088" max="3088" width="15.85546875" style="24" customWidth="1"/>
    <col min="3089" max="3089" width="17" style="24" customWidth="1"/>
    <col min="3090" max="3090" width="17.42578125" style="24" customWidth="1"/>
    <col min="3091" max="3328" width="9" style="24"/>
    <col min="3329" max="3329" width="4.140625" style="24" customWidth="1"/>
    <col min="3330" max="3330" width="4.28515625" style="24" customWidth="1"/>
    <col min="3331" max="3331" width="13.5703125" style="24" customWidth="1"/>
    <col min="3332" max="3332" width="65" style="24" customWidth="1"/>
    <col min="3333" max="3333" width="6.7109375" style="24" customWidth="1"/>
    <col min="3334" max="3334" width="8.42578125" style="24" customWidth="1"/>
    <col min="3335" max="3335" width="10" style="24" customWidth="1"/>
    <col min="3336" max="3336" width="15.7109375" style="24" customWidth="1"/>
    <col min="3337" max="3337" width="18.140625" style="24" customWidth="1"/>
    <col min="3338" max="3338" width="19.28515625" style="24" customWidth="1"/>
    <col min="3339" max="3339" width="13.85546875" style="24" customWidth="1"/>
    <col min="3340" max="3342" width="11.5703125" style="24" customWidth="1"/>
    <col min="3343" max="3343" width="10.28515625" style="24" bestFit="1" customWidth="1"/>
    <col min="3344" max="3344" width="15.85546875" style="24" customWidth="1"/>
    <col min="3345" max="3345" width="17" style="24" customWidth="1"/>
    <col min="3346" max="3346" width="17.42578125" style="24" customWidth="1"/>
    <col min="3347" max="3584" width="9" style="24"/>
    <col min="3585" max="3585" width="4.140625" style="24" customWidth="1"/>
    <col min="3586" max="3586" width="4.28515625" style="24" customWidth="1"/>
    <col min="3587" max="3587" width="13.5703125" style="24" customWidth="1"/>
    <col min="3588" max="3588" width="65" style="24" customWidth="1"/>
    <col min="3589" max="3589" width="6.7109375" style="24" customWidth="1"/>
    <col min="3590" max="3590" width="8.42578125" style="24" customWidth="1"/>
    <col min="3591" max="3591" width="10" style="24" customWidth="1"/>
    <col min="3592" max="3592" width="15.7109375" style="24" customWidth="1"/>
    <col min="3593" max="3593" width="18.140625" style="24" customWidth="1"/>
    <col min="3594" max="3594" width="19.28515625" style="24" customWidth="1"/>
    <col min="3595" max="3595" width="13.85546875" style="24" customWidth="1"/>
    <col min="3596" max="3598" width="11.5703125" style="24" customWidth="1"/>
    <col min="3599" max="3599" width="10.28515625" style="24" bestFit="1" customWidth="1"/>
    <col min="3600" max="3600" width="15.85546875" style="24" customWidth="1"/>
    <col min="3601" max="3601" width="17" style="24" customWidth="1"/>
    <col min="3602" max="3602" width="17.42578125" style="24" customWidth="1"/>
    <col min="3603" max="3840" width="9" style="24"/>
    <col min="3841" max="3841" width="4.140625" style="24" customWidth="1"/>
    <col min="3842" max="3842" width="4.28515625" style="24" customWidth="1"/>
    <col min="3843" max="3843" width="13.5703125" style="24" customWidth="1"/>
    <col min="3844" max="3844" width="65" style="24" customWidth="1"/>
    <col min="3845" max="3845" width="6.7109375" style="24" customWidth="1"/>
    <col min="3846" max="3846" width="8.42578125" style="24" customWidth="1"/>
    <col min="3847" max="3847" width="10" style="24" customWidth="1"/>
    <col min="3848" max="3848" width="15.7109375" style="24" customWidth="1"/>
    <col min="3849" max="3849" width="18.140625" style="24" customWidth="1"/>
    <col min="3850" max="3850" width="19.28515625" style="24" customWidth="1"/>
    <col min="3851" max="3851" width="13.85546875" style="24" customWidth="1"/>
    <col min="3852" max="3854" width="11.5703125" style="24" customWidth="1"/>
    <col min="3855" max="3855" width="10.28515625" style="24" bestFit="1" customWidth="1"/>
    <col min="3856" max="3856" width="15.85546875" style="24" customWidth="1"/>
    <col min="3857" max="3857" width="17" style="24" customWidth="1"/>
    <col min="3858" max="3858" width="17.42578125" style="24" customWidth="1"/>
    <col min="3859" max="4096" width="9" style="24"/>
    <col min="4097" max="4097" width="4.140625" style="24" customWidth="1"/>
    <col min="4098" max="4098" width="4.28515625" style="24" customWidth="1"/>
    <col min="4099" max="4099" width="13.5703125" style="24" customWidth="1"/>
    <col min="4100" max="4100" width="65" style="24" customWidth="1"/>
    <col min="4101" max="4101" width="6.7109375" style="24" customWidth="1"/>
    <col min="4102" max="4102" width="8.42578125" style="24" customWidth="1"/>
    <col min="4103" max="4103" width="10" style="24" customWidth="1"/>
    <col min="4104" max="4104" width="15.7109375" style="24" customWidth="1"/>
    <col min="4105" max="4105" width="18.140625" style="24" customWidth="1"/>
    <col min="4106" max="4106" width="19.28515625" style="24" customWidth="1"/>
    <col min="4107" max="4107" width="13.85546875" style="24" customWidth="1"/>
    <col min="4108" max="4110" width="11.5703125" style="24" customWidth="1"/>
    <col min="4111" max="4111" width="10.28515625" style="24" bestFit="1" customWidth="1"/>
    <col min="4112" max="4112" width="15.85546875" style="24" customWidth="1"/>
    <col min="4113" max="4113" width="17" style="24" customWidth="1"/>
    <col min="4114" max="4114" width="17.42578125" style="24" customWidth="1"/>
    <col min="4115" max="4352" width="9" style="24"/>
    <col min="4353" max="4353" width="4.140625" style="24" customWidth="1"/>
    <col min="4354" max="4354" width="4.28515625" style="24" customWidth="1"/>
    <col min="4355" max="4355" width="13.5703125" style="24" customWidth="1"/>
    <col min="4356" max="4356" width="65" style="24" customWidth="1"/>
    <col min="4357" max="4357" width="6.7109375" style="24" customWidth="1"/>
    <col min="4358" max="4358" width="8.42578125" style="24" customWidth="1"/>
    <col min="4359" max="4359" width="10" style="24" customWidth="1"/>
    <col min="4360" max="4360" width="15.7109375" style="24" customWidth="1"/>
    <col min="4361" max="4361" width="18.140625" style="24" customWidth="1"/>
    <col min="4362" max="4362" width="19.28515625" style="24" customWidth="1"/>
    <col min="4363" max="4363" width="13.85546875" style="24" customWidth="1"/>
    <col min="4364" max="4366" width="11.5703125" style="24" customWidth="1"/>
    <col min="4367" max="4367" width="10.28515625" style="24" bestFit="1" customWidth="1"/>
    <col min="4368" max="4368" width="15.85546875" style="24" customWidth="1"/>
    <col min="4369" max="4369" width="17" style="24" customWidth="1"/>
    <col min="4370" max="4370" width="17.42578125" style="24" customWidth="1"/>
    <col min="4371" max="4608" width="9" style="24"/>
    <col min="4609" max="4609" width="4.140625" style="24" customWidth="1"/>
    <col min="4610" max="4610" width="4.28515625" style="24" customWidth="1"/>
    <col min="4611" max="4611" width="13.5703125" style="24" customWidth="1"/>
    <col min="4612" max="4612" width="65" style="24" customWidth="1"/>
    <col min="4613" max="4613" width="6.7109375" style="24" customWidth="1"/>
    <col min="4614" max="4614" width="8.42578125" style="24" customWidth="1"/>
    <col min="4615" max="4615" width="10" style="24" customWidth="1"/>
    <col min="4616" max="4616" width="15.7109375" style="24" customWidth="1"/>
    <col min="4617" max="4617" width="18.140625" style="24" customWidth="1"/>
    <col min="4618" max="4618" width="19.28515625" style="24" customWidth="1"/>
    <col min="4619" max="4619" width="13.85546875" style="24" customWidth="1"/>
    <col min="4620" max="4622" width="11.5703125" style="24" customWidth="1"/>
    <col min="4623" max="4623" width="10.28515625" style="24" bestFit="1" customWidth="1"/>
    <col min="4624" max="4624" width="15.85546875" style="24" customWidth="1"/>
    <col min="4625" max="4625" width="17" style="24" customWidth="1"/>
    <col min="4626" max="4626" width="17.42578125" style="24" customWidth="1"/>
    <col min="4627" max="4864" width="9" style="24"/>
    <col min="4865" max="4865" width="4.140625" style="24" customWidth="1"/>
    <col min="4866" max="4866" width="4.28515625" style="24" customWidth="1"/>
    <col min="4867" max="4867" width="13.5703125" style="24" customWidth="1"/>
    <col min="4868" max="4868" width="65" style="24" customWidth="1"/>
    <col min="4869" max="4869" width="6.7109375" style="24" customWidth="1"/>
    <col min="4870" max="4870" width="8.42578125" style="24" customWidth="1"/>
    <col min="4871" max="4871" width="10" style="24" customWidth="1"/>
    <col min="4872" max="4872" width="15.7109375" style="24" customWidth="1"/>
    <col min="4873" max="4873" width="18.140625" style="24" customWidth="1"/>
    <col min="4874" max="4874" width="19.28515625" style="24" customWidth="1"/>
    <col min="4875" max="4875" width="13.85546875" style="24" customWidth="1"/>
    <col min="4876" max="4878" width="11.5703125" style="24" customWidth="1"/>
    <col min="4879" max="4879" width="10.28515625" style="24" bestFit="1" customWidth="1"/>
    <col min="4880" max="4880" width="15.85546875" style="24" customWidth="1"/>
    <col min="4881" max="4881" width="17" style="24" customWidth="1"/>
    <col min="4882" max="4882" width="17.42578125" style="24" customWidth="1"/>
    <col min="4883" max="5120" width="9" style="24"/>
    <col min="5121" max="5121" width="4.140625" style="24" customWidth="1"/>
    <col min="5122" max="5122" width="4.28515625" style="24" customWidth="1"/>
    <col min="5123" max="5123" width="13.5703125" style="24" customWidth="1"/>
    <col min="5124" max="5124" width="65" style="24" customWidth="1"/>
    <col min="5125" max="5125" width="6.7109375" style="24" customWidth="1"/>
    <col min="5126" max="5126" width="8.42578125" style="24" customWidth="1"/>
    <col min="5127" max="5127" width="10" style="24" customWidth="1"/>
    <col min="5128" max="5128" width="15.7109375" style="24" customWidth="1"/>
    <col min="5129" max="5129" width="18.140625" style="24" customWidth="1"/>
    <col min="5130" max="5130" width="19.28515625" style="24" customWidth="1"/>
    <col min="5131" max="5131" width="13.85546875" style="24" customWidth="1"/>
    <col min="5132" max="5134" width="11.5703125" style="24" customWidth="1"/>
    <col min="5135" max="5135" width="10.28515625" style="24" bestFit="1" customWidth="1"/>
    <col min="5136" max="5136" width="15.85546875" style="24" customWidth="1"/>
    <col min="5137" max="5137" width="17" style="24" customWidth="1"/>
    <col min="5138" max="5138" width="17.42578125" style="24" customWidth="1"/>
    <col min="5139" max="5376" width="9" style="24"/>
    <col min="5377" max="5377" width="4.140625" style="24" customWidth="1"/>
    <col min="5378" max="5378" width="4.28515625" style="24" customWidth="1"/>
    <col min="5379" max="5379" width="13.5703125" style="24" customWidth="1"/>
    <col min="5380" max="5380" width="65" style="24" customWidth="1"/>
    <col min="5381" max="5381" width="6.7109375" style="24" customWidth="1"/>
    <col min="5382" max="5382" width="8.42578125" style="24" customWidth="1"/>
    <col min="5383" max="5383" width="10" style="24" customWidth="1"/>
    <col min="5384" max="5384" width="15.7109375" style="24" customWidth="1"/>
    <col min="5385" max="5385" width="18.140625" style="24" customWidth="1"/>
    <col min="5386" max="5386" width="19.28515625" style="24" customWidth="1"/>
    <col min="5387" max="5387" width="13.85546875" style="24" customWidth="1"/>
    <col min="5388" max="5390" width="11.5703125" style="24" customWidth="1"/>
    <col min="5391" max="5391" width="10.28515625" style="24" bestFit="1" customWidth="1"/>
    <col min="5392" max="5392" width="15.85546875" style="24" customWidth="1"/>
    <col min="5393" max="5393" width="17" style="24" customWidth="1"/>
    <col min="5394" max="5394" width="17.42578125" style="24" customWidth="1"/>
    <col min="5395" max="5632" width="9" style="24"/>
    <col min="5633" max="5633" width="4.140625" style="24" customWidth="1"/>
    <col min="5634" max="5634" width="4.28515625" style="24" customWidth="1"/>
    <col min="5635" max="5635" width="13.5703125" style="24" customWidth="1"/>
    <col min="5636" max="5636" width="65" style="24" customWidth="1"/>
    <col min="5637" max="5637" width="6.7109375" style="24" customWidth="1"/>
    <col min="5638" max="5638" width="8.42578125" style="24" customWidth="1"/>
    <col min="5639" max="5639" width="10" style="24" customWidth="1"/>
    <col min="5640" max="5640" width="15.7109375" style="24" customWidth="1"/>
    <col min="5641" max="5641" width="18.140625" style="24" customWidth="1"/>
    <col min="5642" max="5642" width="19.28515625" style="24" customWidth="1"/>
    <col min="5643" max="5643" width="13.85546875" style="24" customWidth="1"/>
    <col min="5644" max="5646" width="11.5703125" style="24" customWidth="1"/>
    <col min="5647" max="5647" width="10.28515625" style="24" bestFit="1" customWidth="1"/>
    <col min="5648" max="5648" width="15.85546875" style="24" customWidth="1"/>
    <col min="5649" max="5649" width="17" style="24" customWidth="1"/>
    <col min="5650" max="5650" width="17.42578125" style="24" customWidth="1"/>
    <col min="5651" max="5888" width="9" style="24"/>
    <col min="5889" max="5889" width="4.140625" style="24" customWidth="1"/>
    <col min="5890" max="5890" width="4.28515625" style="24" customWidth="1"/>
    <col min="5891" max="5891" width="13.5703125" style="24" customWidth="1"/>
    <col min="5892" max="5892" width="65" style="24" customWidth="1"/>
    <col min="5893" max="5893" width="6.7109375" style="24" customWidth="1"/>
    <col min="5894" max="5894" width="8.42578125" style="24" customWidth="1"/>
    <col min="5895" max="5895" width="10" style="24" customWidth="1"/>
    <col min="5896" max="5896" width="15.7109375" style="24" customWidth="1"/>
    <col min="5897" max="5897" width="18.140625" style="24" customWidth="1"/>
    <col min="5898" max="5898" width="19.28515625" style="24" customWidth="1"/>
    <col min="5899" max="5899" width="13.85546875" style="24" customWidth="1"/>
    <col min="5900" max="5902" width="11.5703125" style="24" customWidth="1"/>
    <col min="5903" max="5903" width="10.28515625" style="24" bestFit="1" customWidth="1"/>
    <col min="5904" max="5904" width="15.85546875" style="24" customWidth="1"/>
    <col min="5905" max="5905" width="17" style="24" customWidth="1"/>
    <col min="5906" max="5906" width="17.42578125" style="24" customWidth="1"/>
    <col min="5907" max="6144" width="9" style="24"/>
    <col min="6145" max="6145" width="4.140625" style="24" customWidth="1"/>
    <col min="6146" max="6146" width="4.28515625" style="24" customWidth="1"/>
    <col min="6147" max="6147" width="13.5703125" style="24" customWidth="1"/>
    <col min="6148" max="6148" width="65" style="24" customWidth="1"/>
    <col min="6149" max="6149" width="6.7109375" style="24" customWidth="1"/>
    <col min="6150" max="6150" width="8.42578125" style="24" customWidth="1"/>
    <col min="6151" max="6151" width="10" style="24" customWidth="1"/>
    <col min="6152" max="6152" width="15.7109375" style="24" customWidth="1"/>
    <col min="6153" max="6153" width="18.140625" style="24" customWidth="1"/>
    <col min="6154" max="6154" width="19.28515625" style="24" customWidth="1"/>
    <col min="6155" max="6155" width="13.85546875" style="24" customWidth="1"/>
    <col min="6156" max="6158" width="11.5703125" style="24" customWidth="1"/>
    <col min="6159" max="6159" width="10.28515625" style="24" bestFit="1" customWidth="1"/>
    <col min="6160" max="6160" width="15.85546875" style="24" customWidth="1"/>
    <col min="6161" max="6161" width="17" style="24" customWidth="1"/>
    <col min="6162" max="6162" width="17.42578125" style="24" customWidth="1"/>
    <col min="6163" max="6400" width="9" style="24"/>
    <col min="6401" max="6401" width="4.140625" style="24" customWidth="1"/>
    <col min="6402" max="6402" width="4.28515625" style="24" customWidth="1"/>
    <col min="6403" max="6403" width="13.5703125" style="24" customWidth="1"/>
    <col min="6404" max="6404" width="65" style="24" customWidth="1"/>
    <col min="6405" max="6405" width="6.7109375" style="24" customWidth="1"/>
    <col min="6406" max="6406" width="8.42578125" style="24" customWidth="1"/>
    <col min="6407" max="6407" width="10" style="24" customWidth="1"/>
    <col min="6408" max="6408" width="15.7109375" style="24" customWidth="1"/>
    <col min="6409" max="6409" width="18.140625" style="24" customWidth="1"/>
    <col min="6410" max="6410" width="19.28515625" style="24" customWidth="1"/>
    <col min="6411" max="6411" width="13.85546875" style="24" customWidth="1"/>
    <col min="6412" max="6414" width="11.5703125" style="24" customWidth="1"/>
    <col min="6415" max="6415" width="10.28515625" style="24" bestFit="1" customWidth="1"/>
    <col min="6416" max="6416" width="15.85546875" style="24" customWidth="1"/>
    <col min="6417" max="6417" width="17" style="24" customWidth="1"/>
    <col min="6418" max="6418" width="17.42578125" style="24" customWidth="1"/>
    <col min="6419" max="6656" width="9" style="24"/>
    <col min="6657" max="6657" width="4.140625" style="24" customWidth="1"/>
    <col min="6658" max="6658" width="4.28515625" style="24" customWidth="1"/>
    <col min="6659" max="6659" width="13.5703125" style="24" customWidth="1"/>
    <col min="6660" max="6660" width="65" style="24" customWidth="1"/>
    <col min="6661" max="6661" width="6.7109375" style="24" customWidth="1"/>
    <col min="6662" max="6662" width="8.42578125" style="24" customWidth="1"/>
    <col min="6663" max="6663" width="10" style="24" customWidth="1"/>
    <col min="6664" max="6664" width="15.7109375" style="24" customWidth="1"/>
    <col min="6665" max="6665" width="18.140625" style="24" customWidth="1"/>
    <col min="6666" max="6666" width="19.28515625" style="24" customWidth="1"/>
    <col min="6667" max="6667" width="13.85546875" style="24" customWidth="1"/>
    <col min="6668" max="6670" width="11.5703125" style="24" customWidth="1"/>
    <col min="6671" max="6671" width="10.28515625" style="24" bestFit="1" customWidth="1"/>
    <col min="6672" max="6672" width="15.85546875" style="24" customWidth="1"/>
    <col min="6673" max="6673" width="17" style="24" customWidth="1"/>
    <col min="6674" max="6674" width="17.42578125" style="24" customWidth="1"/>
    <col min="6675" max="6912" width="9" style="24"/>
    <col min="6913" max="6913" width="4.140625" style="24" customWidth="1"/>
    <col min="6914" max="6914" width="4.28515625" style="24" customWidth="1"/>
    <col min="6915" max="6915" width="13.5703125" style="24" customWidth="1"/>
    <col min="6916" max="6916" width="65" style="24" customWidth="1"/>
    <col min="6917" max="6917" width="6.7109375" style="24" customWidth="1"/>
    <col min="6918" max="6918" width="8.42578125" style="24" customWidth="1"/>
    <col min="6919" max="6919" width="10" style="24" customWidth="1"/>
    <col min="6920" max="6920" width="15.7109375" style="24" customWidth="1"/>
    <col min="6921" max="6921" width="18.140625" style="24" customWidth="1"/>
    <col min="6922" max="6922" width="19.28515625" style="24" customWidth="1"/>
    <col min="6923" max="6923" width="13.85546875" style="24" customWidth="1"/>
    <col min="6924" max="6926" width="11.5703125" style="24" customWidth="1"/>
    <col min="6927" max="6927" width="10.28515625" style="24" bestFit="1" customWidth="1"/>
    <col min="6928" max="6928" width="15.85546875" style="24" customWidth="1"/>
    <col min="6929" max="6929" width="17" style="24" customWidth="1"/>
    <col min="6930" max="6930" width="17.42578125" style="24" customWidth="1"/>
    <col min="6931" max="7168" width="9" style="24"/>
    <col min="7169" max="7169" width="4.140625" style="24" customWidth="1"/>
    <col min="7170" max="7170" width="4.28515625" style="24" customWidth="1"/>
    <col min="7171" max="7171" width="13.5703125" style="24" customWidth="1"/>
    <col min="7172" max="7172" width="65" style="24" customWidth="1"/>
    <col min="7173" max="7173" width="6.7109375" style="24" customWidth="1"/>
    <col min="7174" max="7174" width="8.42578125" style="24" customWidth="1"/>
    <col min="7175" max="7175" width="10" style="24" customWidth="1"/>
    <col min="7176" max="7176" width="15.7109375" style="24" customWidth="1"/>
    <col min="7177" max="7177" width="18.140625" style="24" customWidth="1"/>
    <col min="7178" max="7178" width="19.28515625" style="24" customWidth="1"/>
    <col min="7179" max="7179" width="13.85546875" style="24" customWidth="1"/>
    <col min="7180" max="7182" width="11.5703125" style="24" customWidth="1"/>
    <col min="7183" max="7183" width="10.28515625" style="24" bestFit="1" customWidth="1"/>
    <col min="7184" max="7184" width="15.85546875" style="24" customWidth="1"/>
    <col min="7185" max="7185" width="17" style="24" customWidth="1"/>
    <col min="7186" max="7186" width="17.42578125" style="24" customWidth="1"/>
    <col min="7187" max="7424" width="9" style="24"/>
    <col min="7425" max="7425" width="4.140625" style="24" customWidth="1"/>
    <col min="7426" max="7426" width="4.28515625" style="24" customWidth="1"/>
    <col min="7427" max="7427" width="13.5703125" style="24" customWidth="1"/>
    <col min="7428" max="7428" width="65" style="24" customWidth="1"/>
    <col min="7429" max="7429" width="6.7109375" style="24" customWidth="1"/>
    <col min="7430" max="7430" width="8.42578125" style="24" customWidth="1"/>
    <col min="7431" max="7431" width="10" style="24" customWidth="1"/>
    <col min="7432" max="7432" width="15.7109375" style="24" customWidth="1"/>
    <col min="7433" max="7433" width="18.140625" style="24" customWidth="1"/>
    <col min="7434" max="7434" width="19.28515625" style="24" customWidth="1"/>
    <col min="7435" max="7435" width="13.85546875" style="24" customWidth="1"/>
    <col min="7436" max="7438" width="11.5703125" style="24" customWidth="1"/>
    <col min="7439" max="7439" width="10.28515625" style="24" bestFit="1" customWidth="1"/>
    <col min="7440" max="7440" width="15.85546875" style="24" customWidth="1"/>
    <col min="7441" max="7441" width="17" style="24" customWidth="1"/>
    <col min="7442" max="7442" width="17.42578125" style="24" customWidth="1"/>
    <col min="7443" max="7680" width="9" style="24"/>
    <col min="7681" max="7681" width="4.140625" style="24" customWidth="1"/>
    <col min="7682" max="7682" width="4.28515625" style="24" customWidth="1"/>
    <col min="7683" max="7683" width="13.5703125" style="24" customWidth="1"/>
    <col min="7684" max="7684" width="65" style="24" customWidth="1"/>
    <col min="7685" max="7685" width="6.7109375" style="24" customWidth="1"/>
    <col min="7686" max="7686" width="8.42578125" style="24" customWidth="1"/>
    <col min="7687" max="7687" width="10" style="24" customWidth="1"/>
    <col min="7688" max="7688" width="15.7109375" style="24" customWidth="1"/>
    <col min="7689" max="7689" width="18.140625" style="24" customWidth="1"/>
    <col min="7690" max="7690" width="19.28515625" style="24" customWidth="1"/>
    <col min="7691" max="7691" width="13.85546875" style="24" customWidth="1"/>
    <col min="7692" max="7694" width="11.5703125" style="24" customWidth="1"/>
    <col min="7695" max="7695" width="10.28515625" style="24" bestFit="1" customWidth="1"/>
    <col min="7696" max="7696" width="15.85546875" style="24" customWidth="1"/>
    <col min="7697" max="7697" width="17" style="24" customWidth="1"/>
    <col min="7698" max="7698" width="17.42578125" style="24" customWidth="1"/>
    <col min="7699" max="7936" width="9" style="24"/>
    <col min="7937" max="7937" width="4.140625" style="24" customWidth="1"/>
    <col min="7938" max="7938" width="4.28515625" style="24" customWidth="1"/>
    <col min="7939" max="7939" width="13.5703125" style="24" customWidth="1"/>
    <col min="7940" max="7940" width="65" style="24" customWidth="1"/>
    <col min="7941" max="7941" width="6.7109375" style="24" customWidth="1"/>
    <col min="7942" max="7942" width="8.42578125" style="24" customWidth="1"/>
    <col min="7943" max="7943" width="10" style="24" customWidth="1"/>
    <col min="7944" max="7944" width="15.7109375" style="24" customWidth="1"/>
    <col min="7945" max="7945" width="18.140625" style="24" customWidth="1"/>
    <col min="7946" max="7946" width="19.28515625" style="24" customWidth="1"/>
    <col min="7947" max="7947" width="13.85546875" style="24" customWidth="1"/>
    <col min="7948" max="7950" width="11.5703125" style="24" customWidth="1"/>
    <col min="7951" max="7951" width="10.28515625" style="24" bestFit="1" customWidth="1"/>
    <col min="7952" max="7952" width="15.85546875" style="24" customWidth="1"/>
    <col min="7953" max="7953" width="17" style="24" customWidth="1"/>
    <col min="7954" max="7954" width="17.42578125" style="24" customWidth="1"/>
    <col min="7955" max="8192" width="9" style="24"/>
    <col min="8193" max="8193" width="4.140625" style="24" customWidth="1"/>
    <col min="8194" max="8194" width="4.28515625" style="24" customWidth="1"/>
    <col min="8195" max="8195" width="13.5703125" style="24" customWidth="1"/>
    <col min="8196" max="8196" width="65" style="24" customWidth="1"/>
    <col min="8197" max="8197" width="6.7109375" style="24" customWidth="1"/>
    <col min="8198" max="8198" width="8.42578125" style="24" customWidth="1"/>
    <col min="8199" max="8199" width="10" style="24" customWidth="1"/>
    <col min="8200" max="8200" width="15.7109375" style="24" customWidth="1"/>
    <col min="8201" max="8201" width="18.140625" style="24" customWidth="1"/>
    <col min="8202" max="8202" width="19.28515625" style="24" customWidth="1"/>
    <col min="8203" max="8203" width="13.85546875" style="24" customWidth="1"/>
    <col min="8204" max="8206" width="11.5703125" style="24" customWidth="1"/>
    <col min="8207" max="8207" width="10.28515625" style="24" bestFit="1" customWidth="1"/>
    <col min="8208" max="8208" width="15.85546875" style="24" customWidth="1"/>
    <col min="8209" max="8209" width="17" style="24" customWidth="1"/>
    <col min="8210" max="8210" width="17.42578125" style="24" customWidth="1"/>
    <col min="8211" max="8448" width="9" style="24"/>
    <col min="8449" max="8449" width="4.140625" style="24" customWidth="1"/>
    <col min="8450" max="8450" width="4.28515625" style="24" customWidth="1"/>
    <col min="8451" max="8451" width="13.5703125" style="24" customWidth="1"/>
    <col min="8452" max="8452" width="65" style="24" customWidth="1"/>
    <col min="8453" max="8453" width="6.7109375" style="24" customWidth="1"/>
    <col min="8454" max="8454" width="8.42578125" style="24" customWidth="1"/>
    <col min="8455" max="8455" width="10" style="24" customWidth="1"/>
    <col min="8456" max="8456" width="15.7109375" style="24" customWidth="1"/>
    <col min="8457" max="8457" width="18.140625" style="24" customWidth="1"/>
    <col min="8458" max="8458" width="19.28515625" style="24" customWidth="1"/>
    <col min="8459" max="8459" width="13.85546875" style="24" customWidth="1"/>
    <col min="8460" max="8462" width="11.5703125" style="24" customWidth="1"/>
    <col min="8463" max="8463" width="10.28515625" style="24" bestFit="1" customWidth="1"/>
    <col min="8464" max="8464" width="15.85546875" style="24" customWidth="1"/>
    <col min="8465" max="8465" width="17" style="24" customWidth="1"/>
    <col min="8466" max="8466" width="17.42578125" style="24" customWidth="1"/>
    <col min="8467" max="8704" width="9" style="24"/>
    <col min="8705" max="8705" width="4.140625" style="24" customWidth="1"/>
    <col min="8706" max="8706" width="4.28515625" style="24" customWidth="1"/>
    <col min="8707" max="8707" width="13.5703125" style="24" customWidth="1"/>
    <col min="8708" max="8708" width="65" style="24" customWidth="1"/>
    <col min="8709" max="8709" width="6.7109375" style="24" customWidth="1"/>
    <col min="8710" max="8710" width="8.42578125" style="24" customWidth="1"/>
    <col min="8711" max="8711" width="10" style="24" customWidth="1"/>
    <col min="8712" max="8712" width="15.7109375" style="24" customWidth="1"/>
    <col min="8713" max="8713" width="18.140625" style="24" customWidth="1"/>
    <col min="8714" max="8714" width="19.28515625" style="24" customWidth="1"/>
    <col min="8715" max="8715" width="13.85546875" style="24" customWidth="1"/>
    <col min="8716" max="8718" width="11.5703125" style="24" customWidth="1"/>
    <col min="8719" max="8719" width="10.28515625" style="24" bestFit="1" customWidth="1"/>
    <col min="8720" max="8720" width="15.85546875" style="24" customWidth="1"/>
    <col min="8721" max="8721" width="17" style="24" customWidth="1"/>
    <col min="8722" max="8722" width="17.42578125" style="24" customWidth="1"/>
    <col min="8723" max="8960" width="9" style="24"/>
    <col min="8961" max="8961" width="4.140625" style="24" customWidth="1"/>
    <col min="8962" max="8962" width="4.28515625" style="24" customWidth="1"/>
    <col min="8963" max="8963" width="13.5703125" style="24" customWidth="1"/>
    <col min="8964" max="8964" width="65" style="24" customWidth="1"/>
    <col min="8965" max="8965" width="6.7109375" style="24" customWidth="1"/>
    <col min="8966" max="8966" width="8.42578125" style="24" customWidth="1"/>
    <col min="8967" max="8967" width="10" style="24" customWidth="1"/>
    <col min="8968" max="8968" width="15.7109375" style="24" customWidth="1"/>
    <col min="8969" max="8969" width="18.140625" style="24" customWidth="1"/>
    <col min="8970" max="8970" width="19.28515625" style="24" customWidth="1"/>
    <col min="8971" max="8971" width="13.85546875" style="24" customWidth="1"/>
    <col min="8972" max="8974" width="11.5703125" style="24" customWidth="1"/>
    <col min="8975" max="8975" width="10.28515625" style="24" bestFit="1" customWidth="1"/>
    <col min="8976" max="8976" width="15.85546875" style="24" customWidth="1"/>
    <col min="8977" max="8977" width="17" style="24" customWidth="1"/>
    <col min="8978" max="8978" width="17.42578125" style="24" customWidth="1"/>
    <col min="8979" max="9216" width="9" style="24"/>
    <col min="9217" max="9217" width="4.140625" style="24" customWidth="1"/>
    <col min="9218" max="9218" width="4.28515625" style="24" customWidth="1"/>
    <col min="9219" max="9219" width="13.5703125" style="24" customWidth="1"/>
    <col min="9220" max="9220" width="65" style="24" customWidth="1"/>
    <col min="9221" max="9221" width="6.7109375" style="24" customWidth="1"/>
    <col min="9222" max="9222" width="8.42578125" style="24" customWidth="1"/>
    <col min="9223" max="9223" width="10" style="24" customWidth="1"/>
    <col min="9224" max="9224" width="15.7109375" style="24" customWidth="1"/>
    <col min="9225" max="9225" width="18.140625" style="24" customWidth="1"/>
    <col min="9226" max="9226" width="19.28515625" style="24" customWidth="1"/>
    <col min="9227" max="9227" width="13.85546875" style="24" customWidth="1"/>
    <col min="9228" max="9230" width="11.5703125" style="24" customWidth="1"/>
    <col min="9231" max="9231" width="10.28515625" style="24" bestFit="1" customWidth="1"/>
    <col min="9232" max="9232" width="15.85546875" style="24" customWidth="1"/>
    <col min="9233" max="9233" width="17" style="24" customWidth="1"/>
    <col min="9234" max="9234" width="17.42578125" style="24" customWidth="1"/>
    <col min="9235" max="9472" width="9" style="24"/>
    <col min="9473" max="9473" width="4.140625" style="24" customWidth="1"/>
    <col min="9474" max="9474" width="4.28515625" style="24" customWidth="1"/>
    <col min="9475" max="9475" width="13.5703125" style="24" customWidth="1"/>
    <col min="9476" max="9476" width="65" style="24" customWidth="1"/>
    <col min="9477" max="9477" width="6.7109375" style="24" customWidth="1"/>
    <col min="9478" max="9478" width="8.42578125" style="24" customWidth="1"/>
    <col min="9479" max="9479" width="10" style="24" customWidth="1"/>
    <col min="9480" max="9480" width="15.7109375" style="24" customWidth="1"/>
    <col min="9481" max="9481" width="18.140625" style="24" customWidth="1"/>
    <col min="9482" max="9482" width="19.28515625" style="24" customWidth="1"/>
    <col min="9483" max="9483" width="13.85546875" style="24" customWidth="1"/>
    <col min="9484" max="9486" width="11.5703125" style="24" customWidth="1"/>
    <col min="9487" max="9487" width="10.28515625" style="24" bestFit="1" customWidth="1"/>
    <col min="9488" max="9488" width="15.85546875" style="24" customWidth="1"/>
    <col min="9489" max="9489" width="17" style="24" customWidth="1"/>
    <col min="9490" max="9490" width="17.42578125" style="24" customWidth="1"/>
    <col min="9491" max="9728" width="9" style="24"/>
    <col min="9729" max="9729" width="4.140625" style="24" customWidth="1"/>
    <col min="9730" max="9730" width="4.28515625" style="24" customWidth="1"/>
    <col min="9731" max="9731" width="13.5703125" style="24" customWidth="1"/>
    <col min="9732" max="9732" width="65" style="24" customWidth="1"/>
    <col min="9733" max="9733" width="6.7109375" style="24" customWidth="1"/>
    <col min="9734" max="9734" width="8.42578125" style="24" customWidth="1"/>
    <col min="9735" max="9735" width="10" style="24" customWidth="1"/>
    <col min="9736" max="9736" width="15.7109375" style="24" customWidth="1"/>
    <col min="9737" max="9737" width="18.140625" style="24" customWidth="1"/>
    <col min="9738" max="9738" width="19.28515625" style="24" customWidth="1"/>
    <col min="9739" max="9739" width="13.85546875" style="24" customWidth="1"/>
    <col min="9740" max="9742" width="11.5703125" style="24" customWidth="1"/>
    <col min="9743" max="9743" width="10.28515625" style="24" bestFit="1" customWidth="1"/>
    <col min="9744" max="9744" width="15.85546875" style="24" customWidth="1"/>
    <col min="9745" max="9745" width="17" style="24" customWidth="1"/>
    <col min="9746" max="9746" width="17.42578125" style="24" customWidth="1"/>
    <col min="9747" max="9984" width="9" style="24"/>
    <col min="9985" max="9985" width="4.140625" style="24" customWidth="1"/>
    <col min="9986" max="9986" width="4.28515625" style="24" customWidth="1"/>
    <col min="9987" max="9987" width="13.5703125" style="24" customWidth="1"/>
    <col min="9988" max="9988" width="65" style="24" customWidth="1"/>
    <col min="9989" max="9989" width="6.7109375" style="24" customWidth="1"/>
    <col min="9990" max="9990" width="8.42578125" style="24" customWidth="1"/>
    <col min="9991" max="9991" width="10" style="24" customWidth="1"/>
    <col min="9992" max="9992" width="15.7109375" style="24" customWidth="1"/>
    <col min="9993" max="9993" width="18.140625" style="24" customWidth="1"/>
    <col min="9994" max="9994" width="19.28515625" style="24" customWidth="1"/>
    <col min="9995" max="9995" width="13.85546875" style="24" customWidth="1"/>
    <col min="9996" max="9998" width="11.5703125" style="24" customWidth="1"/>
    <col min="9999" max="9999" width="10.28515625" style="24" bestFit="1" customWidth="1"/>
    <col min="10000" max="10000" width="15.85546875" style="24" customWidth="1"/>
    <col min="10001" max="10001" width="17" style="24" customWidth="1"/>
    <col min="10002" max="10002" width="17.42578125" style="24" customWidth="1"/>
    <col min="10003" max="10240" width="9" style="24"/>
    <col min="10241" max="10241" width="4.140625" style="24" customWidth="1"/>
    <col min="10242" max="10242" width="4.28515625" style="24" customWidth="1"/>
    <col min="10243" max="10243" width="13.5703125" style="24" customWidth="1"/>
    <col min="10244" max="10244" width="65" style="24" customWidth="1"/>
    <col min="10245" max="10245" width="6.7109375" style="24" customWidth="1"/>
    <col min="10246" max="10246" width="8.42578125" style="24" customWidth="1"/>
    <col min="10247" max="10247" width="10" style="24" customWidth="1"/>
    <col min="10248" max="10248" width="15.7109375" style="24" customWidth="1"/>
    <col min="10249" max="10249" width="18.140625" style="24" customWidth="1"/>
    <col min="10250" max="10250" width="19.28515625" style="24" customWidth="1"/>
    <col min="10251" max="10251" width="13.85546875" style="24" customWidth="1"/>
    <col min="10252" max="10254" width="11.5703125" style="24" customWidth="1"/>
    <col min="10255" max="10255" width="10.28515625" style="24" bestFit="1" customWidth="1"/>
    <col min="10256" max="10256" width="15.85546875" style="24" customWidth="1"/>
    <col min="10257" max="10257" width="17" style="24" customWidth="1"/>
    <col min="10258" max="10258" width="17.42578125" style="24" customWidth="1"/>
    <col min="10259" max="10496" width="9" style="24"/>
    <col min="10497" max="10497" width="4.140625" style="24" customWidth="1"/>
    <col min="10498" max="10498" width="4.28515625" style="24" customWidth="1"/>
    <col min="10499" max="10499" width="13.5703125" style="24" customWidth="1"/>
    <col min="10500" max="10500" width="65" style="24" customWidth="1"/>
    <col min="10501" max="10501" width="6.7109375" style="24" customWidth="1"/>
    <col min="10502" max="10502" width="8.42578125" style="24" customWidth="1"/>
    <col min="10503" max="10503" width="10" style="24" customWidth="1"/>
    <col min="10504" max="10504" width="15.7109375" style="24" customWidth="1"/>
    <col min="10505" max="10505" width="18.140625" style="24" customWidth="1"/>
    <col min="10506" max="10506" width="19.28515625" style="24" customWidth="1"/>
    <col min="10507" max="10507" width="13.85546875" style="24" customWidth="1"/>
    <col min="10508" max="10510" width="11.5703125" style="24" customWidth="1"/>
    <col min="10511" max="10511" width="10.28515625" style="24" bestFit="1" customWidth="1"/>
    <col min="10512" max="10512" width="15.85546875" style="24" customWidth="1"/>
    <col min="10513" max="10513" width="17" style="24" customWidth="1"/>
    <col min="10514" max="10514" width="17.42578125" style="24" customWidth="1"/>
    <col min="10515" max="10752" width="9" style="24"/>
    <col min="10753" max="10753" width="4.140625" style="24" customWidth="1"/>
    <col min="10754" max="10754" width="4.28515625" style="24" customWidth="1"/>
    <col min="10755" max="10755" width="13.5703125" style="24" customWidth="1"/>
    <col min="10756" max="10756" width="65" style="24" customWidth="1"/>
    <col min="10757" max="10757" width="6.7109375" style="24" customWidth="1"/>
    <col min="10758" max="10758" width="8.42578125" style="24" customWidth="1"/>
    <col min="10759" max="10759" width="10" style="24" customWidth="1"/>
    <col min="10760" max="10760" width="15.7109375" style="24" customWidth="1"/>
    <col min="10761" max="10761" width="18.140625" style="24" customWidth="1"/>
    <col min="10762" max="10762" width="19.28515625" style="24" customWidth="1"/>
    <col min="10763" max="10763" width="13.85546875" style="24" customWidth="1"/>
    <col min="10764" max="10766" width="11.5703125" style="24" customWidth="1"/>
    <col min="10767" max="10767" width="10.28515625" style="24" bestFit="1" customWidth="1"/>
    <col min="10768" max="10768" width="15.85546875" style="24" customWidth="1"/>
    <col min="10769" max="10769" width="17" style="24" customWidth="1"/>
    <col min="10770" max="10770" width="17.42578125" style="24" customWidth="1"/>
    <col min="10771" max="11008" width="9" style="24"/>
    <col min="11009" max="11009" width="4.140625" style="24" customWidth="1"/>
    <col min="11010" max="11010" width="4.28515625" style="24" customWidth="1"/>
    <col min="11011" max="11011" width="13.5703125" style="24" customWidth="1"/>
    <col min="11012" max="11012" width="65" style="24" customWidth="1"/>
    <col min="11013" max="11013" width="6.7109375" style="24" customWidth="1"/>
    <col min="11014" max="11014" width="8.42578125" style="24" customWidth="1"/>
    <col min="11015" max="11015" width="10" style="24" customWidth="1"/>
    <col min="11016" max="11016" width="15.7109375" style="24" customWidth="1"/>
    <col min="11017" max="11017" width="18.140625" style="24" customWidth="1"/>
    <col min="11018" max="11018" width="19.28515625" style="24" customWidth="1"/>
    <col min="11019" max="11019" width="13.85546875" style="24" customWidth="1"/>
    <col min="11020" max="11022" width="11.5703125" style="24" customWidth="1"/>
    <col min="11023" max="11023" width="10.28515625" style="24" bestFit="1" customWidth="1"/>
    <col min="11024" max="11024" width="15.85546875" style="24" customWidth="1"/>
    <col min="11025" max="11025" width="17" style="24" customWidth="1"/>
    <col min="11026" max="11026" width="17.42578125" style="24" customWidth="1"/>
    <col min="11027" max="11264" width="9" style="24"/>
    <col min="11265" max="11265" width="4.140625" style="24" customWidth="1"/>
    <col min="11266" max="11266" width="4.28515625" style="24" customWidth="1"/>
    <col min="11267" max="11267" width="13.5703125" style="24" customWidth="1"/>
    <col min="11268" max="11268" width="65" style="24" customWidth="1"/>
    <col min="11269" max="11269" width="6.7109375" style="24" customWidth="1"/>
    <col min="11270" max="11270" width="8.42578125" style="24" customWidth="1"/>
    <col min="11271" max="11271" width="10" style="24" customWidth="1"/>
    <col min="11272" max="11272" width="15.7109375" style="24" customWidth="1"/>
    <col min="11273" max="11273" width="18.140625" style="24" customWidth="1"/>
    <col min="11274" max="11274" width="19.28515625" style="24" customWidth="1"/>
    <col min="11275" max="11275" width="13.85546875" style="24" customWidth="1"/>
    <col min="11276" max="11278" width="11.5703125" style="24" customWidth="1"/>
    <col min="11279" max="11279" width="10.28515625" style="24" bestFit="1" customWidth="1"/>
    <col min="11280" max="11280" width="15.85546875" style="24" customWidth="1"/>
    <col min="11281" max="11281" width="17" style="24" customWidth="1"/>
    <col min="11282" max="11282" width="17.42578125" style="24" customWidth="1"/>
    <col min="11283" max="11520" width="9" style="24"/>
    <col min="11521" max="11521" width="4.140625" style="24" customWidth="1"/>
    <col min="11522" max="11522" width="4.28515625" style="24" customWidth="1"/>
    <col min="11523" max="11523" width="13.5703125" style="24" customWidth="1"/>
    <col min="11524" max="11524" width="65" style="24" customWidth="1"/>
    <col min="11525" max="11525" width="6.7109375" style="24" customWidth="1"/>
    <col min="11526" max="11526" width="8.42578125" style="24" customWidth="1"/>
    <col min="11527" max="11527" width="10" style="24" customWidth="1"/>
    <col min="11528" max="11528" width="15.7109375" style="24" customWidth="1"/>
    <col min="11529" max="11529" width="18.140625" style="24" customWidth="1"/>
    <col min="11530" max="11530" width="19.28515625" style="24" customWidth="1"/>
    <col min="11531" max="11531" width="13.85546875" style="24" customWidth="1"/>
    <col min="11532" max="11534" width="11.5703125" style="24" customWidth="1"/>
    <col min="11535" max="11535" width="10.28515625" style="24" bestFit="1" customWidth="1"/>
    <col min="11536" max="11536" width="15.85546875" style="24" customWidth="1"/>
    <col min="11537" max="11537" width="17" style="24" customWidth="1"/>
    <col min="11538" max="11538" width="17.42578125" style="24" customWidth="1"/>
    <col min="11539" max="11776" width="9" style="24"/>
    <col min="11777" max="11777" width="4.140625" style="24" customWidth="1"/>
    <col min="11778" max="11778" width="4.28515625" style="24" customWidth="1"/>
    <col min="11779" max="11779" width="13.5703125" style="24" customWidth="1"/>
    <col min="11780" max="11780" width="65" style="24" customWidth="1"/>
    <col min="11781" max="11781" width="6.7109375" style="24" customWidth="1"/>
    <col min="11782" max="11782" width="8.42578125" style="24" customWidth="1"/>
    <col min="11783" max="11783" width="10" style="24" customWidth="1"/>
    <col min="11784" max="11784" width="15.7109375" style="24" customWidth="1"/>
    <col min="11785" max="11785" width="18.140625" style="24" customWidth="1"/>
    <col min="11786" max="11786" width="19.28515625" style="24" customWidth="1"/>
    <col min="11787" max="11787" width="13.85546875" style="24" customWidth="1"/>
    <col min="11788" max="11790" width="11.5703125" style="24" customWidth="1"/>
    <col min="11791" max="11791" width="10.28515625" style="24" bestFit="1" customWidth="1"/>
    <col min="11792" max="11792" width="15.85546875" style="24" customWidth="1"/>
    <col min="11793" max="11793" width="17" style="24" customWidth="1"/>
    <col min="11794" max="11794" width="17.42578125" style="24" customWidth="1"/>
    <col min="11795" max="12032" width="9" style="24"/>
    <col min="12033" max="12033" width="4.140625" style="24" customWidth="1"/>
    <col min="12034" max="12034" width="4.28515625" style="24" customWidth="1"/>
    <col min="12035" max="12035" width="13.5703125" style="24" customWidth="1"/>
    <col min="12036" max="12036" width="65" style="24" customWidth="1"/>
    <col min="12037" max="12037" width="6.7109375" style="24" customWidth="1"/>
    <col min="12038" max="12038" width="8.42578125" style="24" customWidth="1"/>
    <col min="12039" max="12039" width="10" style="24" customWidth="1"/>
    <col min="12040" max="12040" width="15.7109375" style="24" customWidth="1"/>
    <col min="12041" max="12041" width="18.140625" style="24" customWidth="1"/>
    <col min="12042" max="12042" width="19.28515625" style="24" customWidth="1"/>
    <col min="12043" max="12043" width="13.85546875" style="24" customWidth="1"/>
    <col min="12044" max="12046" width="11.5703125" style="24" customWidth="1"/>
    <col min="12047" max="12047" width="10.28515625" style="24" bestFit="1" customWidth="1"/>
    <col min="12048" max="12048" width="15.85546875" style="24" customWidth="1"/>
    <col min="12049" max="12049" width="17" style="24" customWidth="1"/>
    <col min="12050" max="12050" width="17.42578125" style="24" customWidth="1"/>
    <col min="12051" max="12288" width="9" style="24"/>
    <col min="12289" max="12289" width="4.140625" style="24" customWidth="1"/>
    <col min="12290" max="12290" width="4.28515625" style="24" customWidth="1"/>
    <col min="12291" max="12291" width="13.5703125" style="24" customWidth="1"/>
    <col min="12292" max="12292" width="65" style="24" customWidth="1"/>
    <col min="12293" max="12293" width="6.7109375" style="24" customWidth="1"/>
    <col min="12294" max="12294" width="8.42578125" style="24" customWidth="1"/>
    <col min="12295" max="12295" width="10" style="24" customWidth="1"/>
    <col min="12296" max="12296" width="15.7109375" style="24" customWidth="1"/>
    <col min="12297" max="12297" width="18.140625" style="24" customWidth="1"/>
    <col min="12298" max="12298" width="19.28515625" style="24" customWidth="1"/>
    <col min="12299" max="12299" width="13.85546875" style="24" customWidth="1"/>
    <col min="12300" max="12302" width="11.5703125" style="24" customWidth="1"/>
    <col min="12303" max="12303" width="10.28515625" style="24" bestFit="1" customWidth="1"/>
    <col min="12304" max="12304" width="15.85546875" style="24" customWidth="1"/>
    <col min="12305" max="12305" width="17" style="24" customWidth="1"/>
    <col min="12306" max="12306" width="17.42578125" style="24" customWidth="1"/>
    <col min="12307" max="12544" width="9" style="24"/>
    <col min="12545" max="12545" width="4.140625" style="24" customWidth="1"/>
    <col min="12546" max="12546" width="4.28515625" style="24" customWidth="1"/>
    <col min="12547" max="12547" width="13.5703125" style="24" customWidth="1"/>
    <col min="12548" max="12548" width="65" style="24" customWidth="1"/>
    <col min="12549" max="12549" width="6.7109375" style="24" customWidth="1"/>
    <col min="12550" max="12550" width="8.42578125" style="24" customWidth="1"/>
    <col min="12551" max="12551" width="10" style="24" customWidth="1"/>
    <col min="12552" max="12552" width="15.7109375" style="24" customWidth="1"/>
    <col min="12553" max="12553" width="18.140625" style="24" customWidth="1"/>
    <col min="12554" max="12554" width="19.28515625" style="24" customWidth="1"/>
    <col min="12555" max="12555" width="13.85546875" style="24" customWidth="1"/>
    <col min="12556" max="12558" width="11.5703125" style="24" customWidth="1"/>
    <col min="12559" max="12559" width="10.28515625" style="24" bestFit="1" customWidth="1"/>
    <col min="12560" max="12560" width="15.85546875" style="24" customWidth="1"/>
    <col min="12561" max="12561" width="17" style="24" customWidth="1"/>
    <col min="12562" max="12562" width="17.42578125" style="24" customWidth="1"/>
    <col min="12563" max="12800" width="9" style="24"/>
    <col min="12801" max="12801" width="4.140625" style="24" customWidth="1"/>
    <col min="12802" max="12802" width="4.28515625" style="24" customWidth="1"/>
    <col min="12803" max="12803" width="13.5703125" style="24" customWidth="1"/>
    <col min="12804" max="12804" width="65" style="24" customWidth="1"/>
    <col min="12805" max="12805" width="6.7109375" style="24" customWidth="1"/>
    <col min="12806" max="12806" width="8.42578125" style="24" customWidth="1"/>
    <col min="12807" max="12807" width="10" style="24" customWidth="1"/>
    <col min="12808" max="12808" width="15.7109375" style="24" customWidth="1"/>
    <col min="12809" max="12809" width="18.140625" style="24" customWidth="1"/>
    <col min="12810" max="12810" width="19.28515625" style="24" customWidth="1"/>
    <col min="12811" max="12811" width="13.85546875" style="24" customWidth="1"/>
    <col min="12812" max="12814" width="11.5703125" style="24" customWidth="1"/>
    <col min="12815" max="12815" width="10.28515625" style="24" bestFit="1" customWidth="1"/>
    <col min="12816" max="12816" width="15.85546875" style="24" customWidth="1"/>
    <col min="12817" max="12817" width="17" style="24" customWidth="1"/>
    <col min="12818" max="12818" width="17.42578125" style="24" customWidth="1"/>
    <col min="12819" max="13056" width="9" style="24"/>
    <col min="13057" max="13057" width="4.140625" style="24" customWidth="1"/>
    <col min="13058" max="13058" width="4.28515625" style="24" customWidth="1"/>
    <col min="13059" max="13059" width="13.5703125" style="24" customWidth="1"/>
    <col min="13060" max="13060" width="65" style="24" customWidth="1"/>
    <col min="13061" max="13061" width="6.7109375" style="24" customWidth="1"/>
    <col min="13062" max="13062" width="8.42578125" style="24" customWidth="1"/>
    <col min="13063" max="13063" width="10" style="24" customWidth="1"/>
    <col min="13064" max="13064" width="15.7109375" style="24" customWidth="1"/>
    <col min="13065" max="13065" width="18.140625" style="24" customWidth="1"/>
    <col min="13066" max="13066" width="19.28515625" style="24" customWidth="1"/>
    <col min="13067" max="13067" width="13.85546875" style="24" customWidth="1"/>
    <col min="13068" max="13070" width="11.5703125" style="24" customWidth="1"/>
    <col min="13071" max="13071" width="10.28515625" style="24" bestFit="1" customWidth="1"/>
    <col min="13072" max="13072" width="15.85546875" style="24" customWidth="1"/>
    <col min="13073" max="13073" width="17" style="24" customWidth="1"/>
    <col min="13074" max="13074" width="17.42578125" style="24" customWidth="1"/>
    <col min="13075" max="13312" width="9" style="24"/>
    <col min="13313" max="13313" width="4.140625" style="24" customWidth="1"/>
    <col min="13314" max="13314" width="4.28515625" style="24" customWidth="1"/>
    <col min="13315" max="13315" width="13.5703125" style="24" customWidth="1"/>
    <col min="13316" max="13316" width="65" style="24" customWidth="1"/>
    <col min="13317" max="13317" width="6.7109375" style="24" customWidth="1"/>
    <col min="13318" max="13318" width="8.42578125" style="24" customWidth="1"/>
    <col min="13319" max="13319" width="10" style="24" customWidth="1"/>
    <col min="13320" max="13320" width="15.7109375" style="24" customWidth="1"/>
    <col min="13321" max="13321" width="18.140625" style="24" customWidth="1"/>
    <col min="13322" max="13322" width="19.28515625" style="24" customWidth="1"/>
    <col min="13323" max="13323" width="13.85546875" style="24" customWidth="1"/>
    <col min="13324" max="13326" width="11.5703125" style="24" customWidth="1"/>
    <col min="13327" max="13327" width="10.28515625" style="24" bestFit="1" customWidth="1"/>
    <col min="13328" max="13328" width="15.85546875" style="24" customWidth="1"/>
    <col min="13329" max="13329" width="17" style="24" customWidth="1"/>
    <col min="13330" max="13330" width="17.42578125" style="24" customWidth="1"/>
    <col min="13331" max="13568" width="9" style="24"/>
    <col min="13569" max="13569" width="4.140625" style="24" customWidth="1"/>
    <col min="13570" max="13570" width="4.28515625" style="24" customWidth="1"/>
    <col min="13571" max="13571" width="13.5703125" style="24" customWidth="1"/>
    <col min="13572" max="13572" width="65" style="24" customWidth="1"/>
    <col min="13573" max="13573" width="6.7109375" style="24" customWidth="1"/>
    <col min="13574" max="13574" width="8.42578125" style="24" customWidth="1"/>
    <col min="13575" max="13575" width="10" style="24" customWidth="1"/>
    <col min="13576" max="13576" width="15.7109375" style="24" customWidth="1"/>
    <col min="13577" max="13577" width="18.140625" style="24" customWidth="1"/>
    <col min="13578" max="13578" width="19.28515625" style="24" customWidth="1"/>
    <col min="13579" max="13579" width="13.85546875" style="24" customWidth="1"/>
    <col min="13580" max="13582" width="11.5703125" style="24" customWidth="1"/>
    <col min="13583" max="13583" width="10.28515625" style="24" bestFit="1" customWidth="1"/>
    <col min="13584" max="13584" width="15.85546875" style="24" customWidth="1"/>
    <col min="13585" max="13585" width="17" style="24" customWidth="1"/>
    <col min="13586" max="13586" width="17.42578125" style="24" customWidth="1"/>
    <col min="13587" max="13824" width="9" style="24"/>
    <col min="13825" max="13825" width="4.140625" style="24" customWidth="1"/>
    <col min="13826" max="13826" width="4.28515625" style="24" customWidth="1"/>
    <col min="13827" max="13827" width="13.5703125" style="24" customWidth="1"/>
    <col min="13828" max="13828" width="65" style="24" customWidth="1"/>
    <col min="13829" max="13829" width="6.7109375" style="24" customWidth="1"/>
    <col min="13830" max="13830" width="8.42578125" style="24" customWidth="1"/>
    <col min="13831" max="13831" width="10" style="24" customWidth="1"/>
    <col min="13832" max="13832" width="15.7109375" style="24" customWidth="1"/>
    <col min="13833" max="13833" width="18.140625" style="24" customWidth="1"/>
    <col min="13834" max="13834" width="19.28515625" style="24" customWidth="1"/>
    <col min="13835" max="13835" width="13.85546875" style="24" customWidth="1"/>
    <col min="13836" max="13838" width="11.5703125" style="24" customWidth="1"/>
    <col min="13839" max="13839" width="10.28515625" style="24" bestFit="1" customWidth="1"/>
    <col min="13840" max="13840" width="15.85546875" style="24" customWidth="1"/>
    <col min="13841" max="13841" width="17" style="24" customWidth="1"/>
    <col min="13842" max="13842" width="17.42578125" style="24" customWidth="1"/>
    <col min="13843" max="14080" width="9" style="24"/>
    <col min="14081" max="14081" width="4.140625" style="24" customWidth="1"/>
    <col min="14082" max="14082" width="4.28515625" style="24" customWidth="1"/>
    <col min="14083" max="14083" width="13.5703125" style="24" customWidth="1"/>
    <col min="14084" max="14084" width="65" style="24" customWidth="1"/>
    <col min="14085" max="14085" width="6.7109375" style="24" customWidth="1"/>
    <col min="14086" max="14086" width="8.42578125" style="24" customWidth="1"/>
    <col min="14087" max="14087" width="10" style="24" customWidth="1"/>
    <col min="14088" max="14088" width="15.7109375" style="24" customWidth="1"/>
    <col min="14089" max="14089" width="18.140625" style="24" customWidth="1"/>
    <col min="14090" max="14090" width="19.28515625" style="24" customWidth="1"/>
    <col min="14091" max="14091" width="13.85546875" style="24" customWidth="1"/>
    <col min="14092" max="14094" width="11.5703125" style="24" customWidth="1"/>
    <col min="14095" max="14095" width="10.28515625" style="24" bestFit="1" customWidth="1"/>
    <col min="14096" max="14096" width="15.85546875" style="24" customWidth="1"/>
    <col min="14097" max="14097" width="17" style="24" customWidth="1"/>
    <col min="14098" max="14098" width="17.42578125" style="24" customWidth="1"/>
    <col min="14099" max="14336" width="9" style="24"/>
    <col min="14337" max="14337" width="4.140625" style="24" customWidth="1"/>
    <col min="14338" max="14338" width="4.28515625" style="24" customWidth="1"/>
    <col min="14339" max="14339" width="13.5703125" style="24" customWidth="1"/>
    <col min="14340" max="14340" width="65" style="24" customWidth="1"/>
    <col min="14341" max="14341" width="6.7109375" style="24" customWidth="1"/>
    <col min="14342" max="14342" width="8.42578125" style="24" customWidth="1"/>
    <col min="14343" max="14343" width="10" style="24" customWidth="1"/>
    <col min="14344" max="14344" width="15.7109375" style="24" customWidth="1"/>
    <col min="14345" max="14345" width="18.140625" style="24" customWidth="1"/>
    <col min="14346" max="14346" width="19.28515625" style="24" customWidth="1"/>
    <col min="14347" max="14347" width="13.85546875" style="24" customWidth="1"/>
    <col min="14348" max="14350" width="11.5703125" style="24" customWidth="1"/>
    <col min="14351" max="14351" width="10.28515625" style="24" bestFit="1" customWidth="1"/>
    <col min="14352" max="14352" width="15.85546875" style="24" customWidth="1"/>
    <col min="14353" max="14353" width="17" style="24" customWidth="1"/>
    <col min="14354" max="14354" width="17.42578125" style="24" customWidth="1"/>
    <col min="14355" max="14592" width="9" style="24"/>
    <col min="14593" max="14593" width="4.140625" style="24" customWidth="1"/>
    <col min="14594" max="14594" width="4.28515625" style="24" customWidth="1"/>
    <col min="14595" max="14595" width="13.5703125" style="24" customWidth="1"/>
    <col min="14596" max="14596" width="65" style="24" customWidth="1"/>
    <col min="14597" max="14597" width="6.7109375" style="24" customWidth="1"/>
    <col min="14598" max="14598" width="8.42578125" style="24" customWidth="1"/>
    <col min="14599" max="14599" width="10" style="24" customWidth="1"/>
    <col min="14600" max="14600" width="15.7109375" style="24" customWidth="1"/>
    <col min="14601" max="14601" width="18.140625" style="24" customWidth="1"/>
    <col min="14602" max="14602" width="19.28515625" style="24" customWidth="1"/>
    <col min="14603" max="14603" width="13.85546875" style="24" customWidth="1"/>
    <col min="14604" max="14606" width="11.5703125" style="24" customWidth="1"/>
    <col min="14607" max="14607" width="10.28515625" style="24" bestFit="1" customWidth="1"/>
    <col min="14608" max="14608" width="15.85546875" style="24" customWidth="1"/>
    <col min="14609" max="14609" width="17" style="24" customWidth="1"/>
    <col min="14610" max="14610" width="17.42578125" style="24" customWidth="1"/>
    <col min="14611" max="14848" width="9" style="24"/>
    <col min="14849" max="14849" width="4.140625" style="24" customWidth="1"/>
    <col min="14850" max="14850" width="4.28515625" style="24" customWidth="1"/>
    <col min="14851" max="14851" width="13.5703125" style="24" customWidth="1"/>
    <col min="14852" max="14852" width="65" style="24" customWidth="1"/>
    <col min="14853" max="14853" width="6.7109375" style="24" customWidth="1"/>
    <col min="14854" max="14854" width="8.42578125" style="24" customWidth="1"/>
    <col min="14855" max="14855" width="10" style="24" customWidth="1"/>
    <col min="14856" max="14856" width="15.7109375" style="24" customWidth="1"/>
    <col min="14857" max="14857" width="18.140625" style="24" customWidth="1"/>
    <col min="14858" max="14858" width="19.28515625" style="24" customWidth="1"/>
    <col min="14859" max="14859" width="13.85546875" style="24" customWidth="1"/>
    <col min="14860" max="14862" width="11.5703125" style="24" customWidth="1"/>
    <col min="14863" max="14863" width="10.28515625" style="24" bestFit="1" customWidth="1"/>
    <col min="14864" max="14864" width="15.85546875" style="24" customWidth="1"/>
    <col min="14865" max="14865" width="17" style="24" customWidth="1"/>
    <col min="14866" max="14866" width="17.42578125" style="24" customWidth="1"/>
    <col min="14867" max="15104" width="9" style="24"/>
    <col min="15105" max="15105" width="4.140625" style="24" customWidth="1"/>
    <col min="15106" max="15106" width="4.28515625" style="24" customWidth="1"/>
    <col min="15107" max="15107" width="13.5703125" style="24" customWidth="1"/>
    <col min="15108" max="15108" width="65" style="24" customWidth="1"/>
    <col min="15109" max="15109" width="6.7109375" style="24" customWidth="1"/>
    <col min="15110" max="15110" width="8.42578125" style="24" customWidth="1"/>
    <col min="15111" max="15111" width="10" style="24" customWidth="1"/>
    <col min="15112" max="15112" width="15.7109375" style="24" customWidth="1"/>
    <col min="15113" max="15113" width="18.140625" style="24" customWidth="1"/>
    <col min="15114" max="15114" width="19.28515625" style="24" customWidth="1"/>
    <col min="15115" max="15115" width="13.85546875" style="24" customWidth="1"/>
    <col min="15116" max="15118" width="11.5703125" style="24" customWidth="1"/>
    <col min="15119" max="15119" width="10.28515625" style="24" bestFit="1" customWidth="1"/>
    <col min="15120" max="15120" width="15.85546875" style="24" customWidth="1"/>
    <col min="15121" max="15121" width="17" style="24" customWidth="1"/>
    <col min="15122" max="15122" width="17.42578125" style="24" customWidth="1"/>
    <col min="15123" max="15360" width="9" style="24"/>
    <col min="15361" max="15361" width="4.140625" style="24" customWidth="1"/>
    <col min="15362" max="15362" width="4.28515625" style="24" customWidth="1"/>
    <col min="15363" max="15363" width="13.5703125" style="24" customWidth="1"/>
    <col min="15364" max="15364" width="65" style="24" customWidth="1"/>
    <col min="15365" max="15365" width="6.7109375" style="24" customWidth="1"/>
    <col min="15366" max="15366" width="8.42578125" style="24" customWidth="1"/>
    <col min="15367" max="15367" width="10" style="24" customWidth="1"/>
    <col min="15368" max="15368" width="15.7109375" style="24" customWidth="1"/>
    <col min="15369" max="15369" width="18.140625" style="24" customWidth="1"/>
    <col min="15370" max="15370" width="19.28515625" style="24" customWidth="1"/>
    <col min="15371" max="15371" width="13.85546875" style="24" customWidth="1"/>
    <col min="15372" max="15374" width="11.5703125" style="24" customWidth="1"/>
    <col min="15375" max="15375" width="10.28515625" style="24" bestFit="1" customWidth="1"/>
    <col min="15376" max="15376" width="15.85546875" style="24" customWidth="1"/>
    <col min="15377" max="15377" width="17" style="24" customWidth="1"/>
    <col min="15378" max="15378" width="17.42578125" style="24" customWidth="1"/>
    <col min="15379" max="15616" width="9" style="24"/>
    <col min="15617" max="15617" width="4.140625" style="24" customWidth="1"/>
    <col min="15618" max="15618" width="4.28515625" style="24" customWidth="1"/>
    <col min="15619" max="15619" width="13.5703125" style="24" customWidth="1"/>
    <col min="15620" max="15620" width="65" style="24" customWidth="1"/>
    <col min="15621" max="15621" width="6.7109375" style="24" customWidth="1"/>
    <col min="15622" max="15622" width="8.42578125" style="24" customWidth="1"/>
    <col min="15623" max="15623" width="10" style="24" customWidth="1"/>
    <col min="15624" max="15624" width="15.7109375" style="24" customWidth="1"/>
    <col min="15625" max="15625" width="18.140625" style="24" customWidth="1"/>
    <col min="15626" max="15626" width="19.28515625" style="24" customWidth="1"/>
    <col min="15627" max="15627" width="13.85546875" style="24" customWidth="1"/>
    <col min="15628" max="15630" width="11.5703125" style="24" customWidth="1"/>
    <col min="15631" max="15631" width="10.28515625" style="24" bestFit="1" customWidth="1"/>
    <col min="15632" max="15632" width="15.85546875" style="24" customWidth="1"/>
    <col min="15633" max="15633" width="17" style="24" customWidth="1"/>
    <col min="15634" max="15634" width="17.42578125" style="24" customWidth="1"/>
    <col min="15635" max="15872" width="9" style="24"/>
    <col min="15873" max="15873" width="4.140625" style="24" customWidth="1"/>
    <col min="15874" max="15874" width="4.28515625" style="24" customWidth="1"/>
    <col min="15875" max="15875" width="13.5703125" style="24" customWidth="1"/>
    <col min="15876" max="15876" width="65" style="24" customWidth="1"/>
    <col min="15877" max="15877" width="6.7109375" style="24" customWidth="1"/>
    <col min="15878" max="15878" width="8.42578125" style="24" customWidth="1"/>
    <col min="15879" max="15879" width="10" style="24" customWidth="1"/>
    <col min="15880" max="15880" width="15.7109375" style="24" customWidth="1"/>
    <col min="15881" max="15881" width="18.140625" style="24" customWidth="1"/>
    <col min="15882" max="15882" width="19.28515625" style="24" customWidth="1"/>
    <col min="15883" max="15883" width="13.85546875" style="24" customWidth="1"/>
    <col min="15884" max="15886" width="11.5703125" style="24" customWidth="1"/>
    <col min="15887" max="15887" width="10.28515625" style="24" bestFit="1" customWidth="1"/>
    <col min="15888" max="15888" width="15.85546875" style="24" customWidth="1"/>
    <col min="15889" max="15889" width="17" style="24" customWidth="1"/>
    <col min="15890" max="15890" width="17.42578125" style="24" customWidth="1"/>
    <col min="15891" max="16128" width="9" style="24"/>
    <col min="16129" max="16129" width="4.140625" style="24" customWidth="1"/>
    <col min="16130" max="16130" width="4.28515625" style="24" customWidth="1"/>
    <col min="16131" max="16131" width="13.5703125" style="24" customWidth="1"/>
    <col min="16132" max="16132" width="65" style="24" customWidth="1"/>
    <col min="16133" max="16133" width="6.7109375" style="24" customWidth="1"/>
    <col min="16134" max="16134" width="8.42578125" style="24" customWidth="1"/>
    <col min="16135" max="16135" width="10" style="24" customWidth="1"/>
    <col min="16136" max="16136" width="15.7109375" style="24" customWidth="1"/>
    <col min="16137" max="16137" width="18.140625" style="24" customWidth="1"/>
    <col min="16138" max="16138" width="19.28515625" style="24" customWidth="1"/>
    <col min="16139" max="16139" width="13.85546875" style="24" customWidth="1"/>
    <col min="16140" max="16142" width="11.5703125" style="24" customWidth="1"/>
    <col min="16143" max="16143" width="10.28515625" style="24" bestFit="1" customWidth="1"/>
    <col min="16144" max="16144" width="15.85546875" style="24" customWidth="1"/>
    <col min="16145" max="16145" width="17" style="24" customWidth="1"/>
    <col min="16146" max="16146" width="17.42578125" style="24" customWidth="1"/>
    <col min="16147" max="16384" width="9" style="24"/>
  </cols>
  <sheetData>
    <row r="1" spans="1:101" s="3" customFormat="1" ht="20.25" customHeight="1">
      <c r="A1" s="1" t="s">
        <v>469</v>
      </c>
      <c r="B1" s="2"/>
      <c r="C1" s="2"/>
      <c r="D1" s="2"/>
      <c r="E1" s="2"/>
      <c r="F1" s="2"/>
      <c r="G1" s="2"/>
      <c r="H1" s="2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</row>
    <row r="2" spans="1:101" s="43" customFormat="1" ht="13.5" customHeight="1">
      <c r="A2" s="411" t="s">
        <v>1</v>
      </c>
      <c r="B2" s="412"/>
      <c r="C2" s="412"/>
      <c r="D2" s="412"/>
      <c r="E2" s="412"/>
      <c r="F2" s="412"/>
      <c r="G2" s="412"/>
      <c r="H2" s="412"/>
      <c r="I2" s="412"/>
      <c r="J2" s="39"/>
      <c r="K2" s="40"/>
      <c r="L2" s="38"/>
      <c r="M2" s="38"/>
      <c r="N2" s="38"/>
      <c r="O2" s="41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</row>
    <row r="3" spans="1:101" s="48" customFormat="1" ht="13.5" customHeight="1">
      <c r="A3" s="413" t="s">
        <v>66</v>
      </c>
      <c r="B3" s="414"/>
      <c r="C3" s="414"/>
      <c r="D3" s="414"/>
      <c r="E3" s="10"/>
      <c r="F3" s="10"/>
      <c r="G3" s="44"/>
      <c r="H3" s="44"/>
      <c r="I3" s="45"/>
      <c r="J3" s="46"/>
      <c r="K3" s="40"/>
      <c r="L3" s="38"/>
      <c r="M3" s="38"/>
      <c r="N3" s="38"/>
      <c r="O3" s="46"/>
      <c r="P3" s="47"/>
      <c r="Q3" s="41"/>
      <c r="R3" s="41"/>
      <c r="S3" s="41"/>
      <c r="T3" s="41"/>
      <c r="U3" s="41"/>
      <c r="V3" s="41"/>
      <c r="W3" s="47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</row>
    <row r="4" spans="1:101" s="48" customFormat="1" ht="13.5" customHeight="1">
      <c r="A4" s="49" t="s">
        <v>73</v>
      </c>
      <c r="B4" s="222"/>
      <c r="C4" s="222"/>
      <c r="D4" s="222"/>
      <c r="E4" s="10"/>
      <c r="F4" s="10"/>
      <c r="G4" s="44"/>
      <c r="H4" s="44"/>
      <c r="I4" s="45"/>
      <c r="J4" s="46"/>
      <c r="K4" s="40"/>
      <c r="L4" s="38"/>
      <c r="M4" s="38"/>
      <c r="N4" s="38"/>
      <c r="O4" s="46"/>
      <c r="P4" s="47"/>
      <c r="Q4" s="41"/>
      <c r="R4" s="41"/>
      <c r="S4" s="41"/>
      <c r="T4" s="41"/>
      <c r="U4" s="41"/>
      <c r="V4" s="41"/>
      <c r="W4" s="47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</row>
    <row r="5" spans="1:101" s="50" customFormat="1" ht="13.5" customHeight="1">
      <c r="A5" s="10" t="s">
        <v>2</v>
      </c>
      <c r="B5" s="10"/>
      <c r="C5" s="10"/>
      <c r="D5" s="10"/>
      <c r="E5" s="10"/>
      <c r="F5" s="44"/>
      <c r="G5" s="44"/>
      <c r="H5" s="46"/>
      <c r="J5" s="38"/>
      <c r="K5" s="40"/>
      <c r="L5" s="38"/>
      <c r="M5" s="38"/>
      <c r="N5" s="38"/>
      <c r="O5" s="38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38"/>
      <c r="AF5" s="38"/>
      <c r="AG5" s="38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</row>
    <row r="6" spans="1:101" s="3" customFormat="1" ht="12.75" customHeight="1">
      <c r="A6" s="14"/>
      <c r="B6" s="14"/>
      <c r="C6" s="14"/>
      <c r="D6" s="51"/>
      <c r="E6" s="14"/>
      <c r="F6" s="14"/>
      <c r="G6" s="2"/>
      <c r="H6" s="2"/>
      <c r="I6" s="38"/>
      <c r="J6" s="52"/>
      <c r="K6" s="40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</row>
    <row r="7" spans="1:101" s="3" customFormat="1" ht="24.75" customHeight="1">
      <c r="A7" s="53" t="s">
        <v>14</v>
      </c>
      <c r="B7" s="53" t="s">
        <v>15</v>
      </c>
      <c r="C7" s="53" t="s">
        <v>16</v>
      </c>
      <c r="D7" s="53" t="s">
        <v>4</v>
      </c>
      <c r="E7" s="53" t="s">
        <v>17</v>
      </c>
      <c r="F7" s="53" t="s">
        <v>18</v>
      </c>
      <c r="G7" s="53" t="s">
        <v>19</v>
      </c>
      <c r="H7" s="53" t="s">
        <v>20</v>
      </c>
      <c r="I7" s="53" t="s">
        <v>21</v>
      </c>
      <c r="J7" s="54"/>
      <c r="K7" s="40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</row>
    <row r="8" spans="1:101" s="3" customFormat="1" ht="12.75" customHeight="1">
      <c r="A8" s="53" t="s">
        <v>22</v>
      </c>
      <c r="B8" s="53" t="s">
        <v>23</v>
      </c>
      <c r="C8" s="53" t="s">
        <v>24</v>
      </c>
      <c r="D8" s="53" t="s">
        <v>25</v>
      </c>
      <c r="E8" s="53" t="s">
        <v>26</v>
      </c>
      <c r="F8" s="53" t="s">
        <v>27</v>
      </c>
      <c r="G8" s="53" t="s">
        <v>28</v>
      </c>
      <c r="H8" s="53">
        <v>8</v>
      </c>
      <c r="I8" s="53">
        <v>9</v>
      </c>
      <c r="J8" s="38"/>
      <c r="K8" s="40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</row>
    <row r="9" spans="1:101" s="3" customFormat="1" ht="21" customHeight="1">
      <c r="A9" s="55"/>
      <c r="B9" s="56"/>
      <c r="C9" s="56" t="s">
        <v>6</v>
      </c>
      <c r="D9" s="56" t="s">
        <v>7</v>
      </c>
      <c r="E9" s="56"/>
      <c r="F9" s="57"/>
      <c r="G9" s="58"/>
      <c r="H9" s="58">
        <f>H10+H59+H141+H171</f>
        <v>0</v>
      </c>
      <c r="I9" s="59"/>
      <c r="J9" s="38"/>
      <c r="K9" s="40"/>
      <c r="L9" s="38"/>
      <c r="M9" s="38"/>
      <c r="N9" s="38"/>
      <c r="O9" s="38"/>
      <c r="P9" s="38"/>
      <c r="Q9" s="60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</row>
    <row r="10" spans="1:101" s="73" customFormat="1" ht="13.5" customHeight="1">
      <c r="A10" s="74"/>
      <c r="B10" s="75"/>
      <c r="C10" s="226">
        <v>3</v>
      </c>
      <c r="D10" s="226" t="s">
        <v>67</v>
      </c>
      <c r="E10" s="226"/>
      <c r="F10" s="227"/>
      <c r="G10" s="78"/>
      <c r="H10" s="228">
        <f>SUM(H11:H58)</f>
        <v>0</v>
      </c>
      <c r="I10" s="229"/>
      <c r="J10" s="208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</row>
    <row r="11" spans="1:101" s="8" customFormat="1" ht="27" customHeight="1">
      <c r="A11" s="67">
        <v>1</v>
      </c>
      <c r="B11" s="68" t="s">
        <v>29</v>
      </c>
      <c r="C11" s="69" t="s">
        <v>74</v>
      </c>
      <c r="D11" s="69" t="s">
        <v>75</v>
      </c>
      <c r="E11" s="69" t="s">
        <v>40</v>
      </c>
      <c r="F11" s="100">
        <f>SUM(F13)</f>
        <v>21</v>
      </c>
      <c r="G11" s="71"/>
      <c r="H11" s="71">
        <f>F11*G11</f>
        <v>0</v>
      </c>
      <c r="I11" s="101" t="s">
        <v>39</v>
      </c>
      <c r="J11" s="344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</row>
    <row r="12" spans="1:101" s="8" customFormat="1" ht="27" customHeight="1">
      <c r="A12" s="112"/>
      <c r="B12" s="114"/>
      <c r="C12" s="114"/>
      <c r="D12" s="76" t="s">
        <v>76</v>
      </c>
      <c r="E12" s="114"/>
      <c r="F12" s="77"/>
      <c r="G12" s="144"/>
      <c r="H12" s="71"/>
      <c r="I12" s="110"/>
      <c r="J12" s="294"/>
      <c r="K12" s="217"/>
      <c r="L12" s="295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  <c r="BI12" s="207"/>
      <c r="BJ12" s="207"/>
      <c r="BK12" s="207"/>
      <c r="BL12" s="207"/>
      <c r="BM12" s="207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</row>
    <row r="13" spans="1:101" s="232" customFormat="1" ht="13.5" customHeight="1">
      <c r="A13" s="140"/>
      <c r="B13" s="76"/>
      <c r="C13" s="76"/>
      <c r="D13" s="76" t="s">
        <v>77</v>
      </c>
      <c r="E13" s="76"/>
      <c r="F13" s="77">
        <f>6+6+6+3</f>
        <v>21</v>
      </c>
      <c r="G13" s="142"/>
      <c r="H13" s="142"/>
      <c r="I13" s="230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  <c r="AD13" s="296"/>
      <c r="AE13" s="296"/>
      <c r="AF13" s="296"/>
      <c r="AG13" s="296"/>
      <c r="AH13" s="296"/>
      <c r="AI13" s="296"/>
      <c r="AJ13" s="296"/>
      <c r="AK13" s="296"/>
      <c r="AL13" s="296"/>
      <c r="AM13" s="296"/>
      <c r="AN13" s="296"/>
      <c r="AO13" s="296"/>
      <c r="AP13" s="296"/>
      <c r="AQ13" s="296"/>
      <c r="AR13" s="296"/>
      <c r="AS13" s="296"/>
      <c r="AT13" s="296"/>
      <c r="AU13" s="296"/>
      <c r="AV13" s="296"/>
      <c r="AW13" s="296"/>
      <c r="AX13" s="296"/>
      <c r="AY13" s="296"/>
      <c r="AZ13" s="296"/>
      <c r="BA13" s="296"/>
      <c r="BB13" s="296"/>
      <c r="BC13" s="296"/>
      <c r="BD13" s="296"/>
      <c r="BE13" s="296"/>
      <c r="BF13" s="296"/>
      <c r="BG13" s="296"/>
      <c r="BH13" s="296"/>
      <c r="BI13" s="296"/>
      <c r="BJ13" s="296"/>
      <c r="BK13" s="296"/>
      <c r="BL13" s="296"/>
      <c r="BM13" s="296"/>
      <c r="BN13" s="231"/>
      <c r="BO13" s="231"/>
      <c r="BP13" s="231"/>
      <c r="BQ13" s="231"/>
      <c r="BR13" s="231"/>
      <c r="BS13" s="231"/>
      <c r="BT13" s="231"/>
      <c r="BU13" s="231"/>
      <c r="BV13" s="231"/>
      <c r="BW13" s="231"/>
      <c r="BX13" s="231"/>
      <c r="BY13" s="231"/>
      <c r="BZ13" s="231"/>
      <c r="CA13" s="231"/>
      <c r="CB13" s="231"/>
      <c r="CC13" s="231"/>
      <c r="CD13" s="231"/>
      <c r="CE13" s="231"/>
      <c r="CF13" s="231"/>
      <c r="CG13" s="231"/>
      <c r="CH13" s="231"/>
      <c r="CI13" s="231"/>
      <c r="CJ13" s="231"/>
      <c r="CK13" s="231"/>
      <c r="CL13" s="231"/>
      <c r="CM13" s="231"/>
      <c r="CN13" s="231"/>
      <c r="CO13" s="231"/>
      <c r="CP13" s="231"/>
      <c r="CQ13" s="231"/>
      <c r="CR13" s="231"/>
      <c r="CS13" s="231"/>
      <c r="CT13" s="231"/>
      <c r="CU13" s="231"/>
      <c r="CV13" s="231"/>
      <c r="CW13" s="231"/>
    </row>
    <row r="14" spans="1:101" s="8" customFormat="1" ht="54" customHeight="1">
      <c r="A14" s="112"/>
      <c r="B14" s="114"/>
      <c r="C14" s="114"/>
      <c r="D14" s="76" t="s">
        <v>451</v>
      </c>
      <c r="E14" s="114"/>
      <c r="F14" s="77"/>
      <c r="G14" s="144"/>
      <c r="H14" s="71"/>
      <c r="I14" s="110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  <c r="BI14" s="207"/>
      <c r="BJ14" s="207"/>
      <c r="BK14" s="207"/>
      <c r="BL14" s="207"/>
      <c r="BM14" s="207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</row>
    <row r="15" spans="1:101" s="3" customFormat="1" ht="13.5" customHeight="1">
      <c r="A15" s="233"/>
      <c r="B15" s="68"/>
      <c r="C15" s="69"/>
      <c r="D15" s="76" t="s">
        <v>78</v>
      </c>
      <c r="E15" s="69"/>
      <c r="F15" s="77"/>
      <c r="G15" s="71"/>
      <c r="H15" s="71"/>
      <c r="I15" s="234"/>
      <c r="J15" s="375"/>
      <c r="K15" s="375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</row>
    <row r="16" spans="1:101" s="8" customFormat="1" ht="27" customHeight="1">
      <c r="A16" s="67">
        <v>2</v>
      </c>
      <c r="B16" s="68" t="s">
        <v>29</v>
      </c>
      <c r="C16" s="69" t="s">
        <v>79</v>
      </c>
      <c r="D16" s="69" t="s">
        <v>452</v>
      </c>
      <c r="E16" s="69" t="s">
        <v>40</v>
      </c>
      <c r="F16" s="100">
        <f>SUM(F18:F19)</f>
        <v>2</v>
      </c>
      <c r="G16" s="71"/>
      <c r="H16" s="71">
        <f>F16*G16</f>
        <v>0</v>
      </c>
      <c r="I16" s="101" t="s">
        <v>39</v>
      </c>
      <c r="J16" s="344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7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</row>
    <row r="17" spans="1:101" s="8" customFormat="1" ht="27" customHeight="1">
      <c r="A17" s="112"/>
      <c r="B17" s="114"/>
      <c r="C17" s="114"/>
      <c r="D17" s="76" t="s">
        <v>76</v>
      </c>
      <c r="E17" s="114"/>
      <c r="F17" s="77"/>
      <c r="G17" s="144"/>
      <c r="H17" s="71"/>
      <c r="I17" s="110"/>
      <c r="J17" s="409"/>
      <c r="K17" s="217"/>
      <c r="L17" s="295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  <c r="BI17" s="207"/>
      <c r="BJ17" s="207"/>
      <c r="BK17" s="207"/>
      <c r="BL17" s="207"/>
      <c r="BM17" s="207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</row>
    <row r="18" spans="1:101" s="232" customFormat="1" ht="13.5" customHeight="1">
      <c r="A18" s="140"/>
      <c r="B18" s="76"/>
      <c r="C18" s="76"/>
      <c r="D18" s="76" t="s">
        <v>453</v>
      </c>
      <c r="E18" s="76"/>
      <c r="F18" s="77">
        <v>1</v>
      </c>
      <c r="G18" s="142"/>
      <c r="H18" s="142"/>
      <c r="I18" s="230"/>
      <c r="J18" s="344"/>
      <c r="K18" s="296"/>
      <c r="L18" s="296"/>
      <c r="M18" s="296"/>
      <c r="N18" s="296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296"/>
      <c r="AB18" s="296"/>
      <c r="AC18" s="296"/>
      <c r="AD18" s="296"/>
      <c r="AE18" s="296"/>
      <c r="AF18" s="296"/>
      <c r="AG18" s="296"/>
      <c r="AH18" s="296"/>
      <c r="AI18" s="296"/>
      <c r="AJ18" s="296"/>
      <c r="AK18" s="296"/>
      <c r="AL18" s="296"/>
      <c r="AM18" s="296"/>
      <c r="AN18" s="296"/>
      <c r="AO18" s="296"/>
      <c r="AP18" s="296"/>
      <c r="AQ18" s="296"/>
      <c r="AR18" s="296"/>
      <c r="AS18" s="296"/>
      <c r="AT18" s="296"/>
      <c r="AU18" s="296"/>
      <c r="AV18" s="296"/>
      <c r="AW18" s="296"/>
      <c r="AX18" s="296"/>
      <c r="AY18" s="296"/>
      <c r="AZ18" s="296"/>
      <c r="BA18" s="296"/>
      <c r="BB18" s="296"/>
      <c r="BC18" s="296"/>
      <c r="BD18" s="296"/>
      <c r="BE18" s="296"/>
      <c r="BF18" s="296"/>
      <c r="BG18" s="296"/>
      <c r="BH18" s="296"/>
      <c r="BI18" s="296"/>
      <c r="BJ18" s="296"/>
      <c r="BK18" s="296"/>
      <c r="BL18" s="296"/>
      <c r="BM18" s="296"/>
      <c r="BN18" s="231"/>
      <c r="BO18" s="231"/>
      <c r="BP18" s="231"/>
      <c r="BQ18" s="231"/>
      <c r="BR18" s="231"/>
      <c r="BS18" s="231"/>
      <c r="BT18" s="231"/>
      <c r="BU18" s="231"/>
      <c r="BV18" s="231"/>
      <c r="BW18" s="231"/>
      <c r="BX18" s="231"/>
      <c r="BY18" s="231"/>
      <c r="BZ18" s="231"/>
      <c r="CA18" s="231"/>
      <c r="CB18" s="231"/>
      <c r="CC18" s="231"/>
      <c r="CD18" s="231"/>
      <c r="CE18" s="231"/>
      <c r="CF18" s="231"/>
      <c r="CG18" s="231"/>
      <c r="CH18" s="231"/>
      <c r="CI18" s="231"/>
      <c r="CJ18" s="231"/>
      <c r="CK18" s="231"/>
      <c r="CL18" s="231"/>
      <c r="CM18" s="231"/>
      <c r="CN18" s="231"/>
      <c r="CO18" s="231"/>
      <c r="CP18" s="231"/>
      <c r="CQ18" s="231"/>
      <c r="CR18" s="231"/>
      <c r="CS18" s="231"/>
      <c r="CT18" s="231"/>
      <c r="CU18" s="231"/>
      <c r="CV18" s="231"/>
      <c r="CW18" s="231"/>
    </row>
    <row r="19" spans="1:101" s="232" customFormat="1" ht="13.5" customHeight="1">
      <c r="A19" s="140"/>
      <c r="B19" s="76"/>
      <c r="C19" s="76"/>
      <c r="D19" s="76" t="s">
        <v>454</v>
      </c>
      <c r="E19" s="76"/>
      <c r="F19" s="77">
        <v>1</v>
      </c>
      <c r="G19" s="142"/>
      <c r="H19" s="142"/>
      <c r="I19" s="230"/>
      <c r="J19" s="296"/>
      <c r="K19" s="296"/>
      <c r="L19" s="296"/>
      <c r="M19" s="296"/>
      <c r="N19" s="296"/>
      <c r="O19" s="296"/>
      <c r="P19" s="296"/>
      <c r="Q19" s="296"/>
      <c r="R19" s="296"/>
      <c r="S19" s="296"/>
      <c r="T19" s="296"/>
      <c r="U19" s="296"/>
      <c r="V19" s="296"/>
      <c r="W19" s="296"/>
      <c r="X19" s="296"/>
      <c r="Y19" s="296"/>
      <c r="Z19" s="296"/>
      <c r="AA19" s="296"/>
      <c r="AB19" s="296"/>
      <c r="AC19" s="296"/>
      <c r="AD19" s="296"/>
      <c r="AE19" s="296"/>
      <c r="AF19" s="296"/>
      <c r="AG19" s="296"/>
      <c r="AH19" s="296"/>
      <c r="AI19" s="296"/>
      <c r="AJ19" s="296"/>
      <c r="AK19" s="296"/>
      <c r="AL19" s="296"/>
      <c r="AM19" s="296"/>
      <c r="AN19" s="296"/>
      <c r="AO19" s="296"/>
      <c r="AP19" s="296"/>
      <c r="AQ19" s="296"/>
      <c r="AR19" s="296"/>
      <c r="AS19" s="296"/>
      <c r="AT19" s="296"/>
      <c r="AU19" s="296"/>
      <c r="AV19" s="296"/>
      <c r="AW19" s="296"/>
      <c r="AX19" s="296"/>
      <c r="AY19" s="296"/>
      <c r="AZ19" s="296"/>
      <c r="BA19" s="296"/>
      <c r="BB19" s="296"/>
      <c r="BC19" s="296"/>
      <c r="BD19" s="296"/>
      <c r="BE19" s="296"/>
      <c r="BF19" s="296"/>
      <c r="BG19" s="296"/>
      <c r="BH19" s="296"/>
      <c r="BI19" s="296"/>
      <c r="BJ19" s="296"/>
      <c r="BK19" s="296"/>
      <c r="BL19" s="296"/>
      <c r="BM19" s="296"/>
      <c r="BN19" s="231"/>
      <c r="BO19" s="231"/>
      <c r="BP19" s="231"/>
      <c r="BQ19" s="231"/>
      <c r="BR19" s="231"/>
      <c r="BS19" s="231"/>
      <c r="BT19" s="231"/>
      <c r="BU19" s="231"/>
      <c r="BV19" s="231"/>
      <c r="BW19" s="231"/>
      <c r="BX19" s="231"/>
      <c r="BY19" s="231"/>
      <c r="BZ19" s="231"/>
      <c r="CA19" s="231"/>
      <c r="CB19" s="231"/>
      <c r="CC19" s="231"/>
      <c r="CD19" s="231"/>
      <c r="CE19" s="231"/>
      <c r="CF19" s="231"/>
      <c r="CG19" s="231"/>
      <c r="CH19" s="231"/>
      <c r="CI19" s="231"/>
      <c r="CJ19" s="231"/>
      <c r="CK19" s="231"/>
      <c r="CL19" s="231"/>
      <c r="CM19" s="231"/>
      <c r="CN19" s="231"/>
      <c r="CO19" s="231"/>
      <c r="CP19" s="231"/>
      <c r="CQ19" s="231"/>
      <c r="CR19" s="231"/>
      <c r="CS19" s="231"/>
      <c r="CT19" s="231"/>
      <c r="CU19" s="231"/>
      <c r="CV19" s="231"/>
      <c r="CW19" s="231"/>
    </row>
    <row r="20" spans="1:101" s="8" customFormat="1" ht="54" customHeight="1">
      <c r="A20" s="112"/>
      <c r="B20" s="114"/>
      <c r="C20" s="114"/>
      <c r="D20" s="76" t="s">
        <v>451</v>
      </c>
      <c r="E20" s="114"/>
      <c r="F20" s="77"/>
      <c r="G20" s="144"/>
      <c r="H20" s="71"/>
      <c r="I20" s="110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  <c r="BI20" s="207"/>
      <c r="BJ20" s="207"/>
      <c r="BK20" s="207"/>
      <c r="BL20" s="207"/>
      <c r="BM20" s="207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</row>
    <row r="21" spans="1:101" s="3" customFormat="1" ht="13.5" customHeight="1">
      <c r="A21" s="233"/>
      <c r="B21" s="68"/>
      <c r="C21" s="69"/>
      <c r="D21" s="76" t="s">
        <v>78</v>
      </c>
      <c r="E21" s="69"/>
      <c r="F21" s="77"/>
      <c r="G21" s="71"/>
      <c r="H21" s="71"/>
      <c r="I21" s="234"/>
      <c r="J21" s="375"/>
      <c r="K21" s="375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</row>
    <row r="22" spans="1:101" s="240" customFormat="1" ht="13.5" customHeight="1">
      <c r="A22" s="235">
        <v>3</v>
      </c>
      <c r="B22" s="68" t="s">
        <v>29</v>
      </c>
      <c r="C22" s="69" t="s">
        <v>455</v>
      </c>
      <c r="D22" s="236" t="s">
        <v>80</v>
      </c>
      <c r="E22" s="236" t="s">
        <v>40</v>
      </c>
      <c r="F22" s="237">
        <f>F23</f>
        <v>1</v>
      </c>
      <c r="G22" s="238"/>
      <c r="H22" s="238">
        <f>F22*G22</f>
        <v>0</v>
      </c>
      <c r="I22" s="101" t="s">
        <v>39</v>
      </c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T22" s="239"/>
      <c r="U22" s="239"/>
      <c r="V22" s="239"/>
      <c r="W22" s="239"/>
      <c r="X22" s="239"/>
      <c r="Y22" s="239"/>
      <c r="Z22" s="239"/>
      <c r="AA22" s="239"/>
      <c r="AB22" s="239"/>
      <c r="AC22" s="239"/>
      <c r="AD22" s="239"/>
      <c r="AE22" s="239"/>
      <c r="AF22" s="239"/>
      <c r="AG22" s="239"/>
      <c r="AH22" s="239"/>
      <c r="AI22" s="239"/>
      <c r="AJ22" s="239"/>
      <c r="AK22" s="239"/>
      <c r="AL22" s="239"/>
      <c r="AM22" s="239"/>
      <c r="AN22" s="239"/>
      <c r="AO22" s="239"/>
      <c r="AP22" s="239"/>
      <c r="AQ22" s="239"/>
      <c r="AR22" s="239"/>
      <c r="AS22" s="239"/>
      <c r="AT22" s="239"/>
      <c r="AU22" s="239"/>
      <c r="AV22" s="239"/>
      <c r="AW22" s="239"/>
      <c r="AX22" s="239"/>
      <c r="AY22" s="239"/>
      <c r="AZ22" s="239"/>
      <c r="BA22" s="239"/>
      <c r="BB22" s="239"/>
      <c r="BC22" s="239"/>
      <c r="BD22" s="239"/>
      <c r="BE22" s="239"/>
      <c r="BF22" s="239"/>
      <c r="BG22" s="239"/>
      <c r="BH22" s="239"/>
      <c r="BI22" s="239"/>
      <c r="BJ22" s="239"/>
      <c r="BK22" s="239"/>
      <c r="BL22" s="239"/>
      <c r="BM22" s="239"/>
      <c r="BN22" s="239"/>
      <c r="BO22" s="239"/>
      <c r="BP22" s="239"/>
      <c r="BQ22" s="239"/>
      <c r="BR22" s="239"/>
      <c r="BS22" s="239"/>
      <c r="BT22" s="239"/>
      <c r="BU22" s="239"/>
      <c r="BV22" s="239"/>
      <c r="BW22" s="239"/>
      <c r="BX22" s="239"/>
      <c r="BY22" s="239"/>
      <c r="BZ22" s="239"/>
      <c r="CA22" s="239"/>
      <c r="CB22" s="239"/>
      <c r="CC22" s="239"/>
      <c r="CD22" s="239"/>
      <c r="CE22" s="239"/>
      <c r="CF22" s="239"/>
      <c r="CG22" s="239"/>
      <c r="CH22" s="239"/>
      <c r="CI22" s="239"/>
      <c r="CJ22" s="239"/>
      <c r="CK22" s="239"/>
      <c r="CL22" s="239"/>
      <c r="CM22" s="239"/>
      <c r="CN22" s="239"/>
      <c r="CO22" s="239"/>
      <c r="CP22" s="239"/>
      <c r="CQ22" s="239"/>
      <c r="CR22" s="239"/>
      <c r="CS22" s="239"/>
      <c r="CT22" s="239"/>
      <c r="CU22" s="239"/>
      <c r="CV22" s="239"/>
      <c r="CW22" s="239"/>
    </row>
    <row r="23" spans="1:101" s="240" customFormat="1" ht="13.5" customHeight="1">
      <c r="A23" s="235"/>
      <c r="B23" s="68"/>
      <c r="C23" s="69"/>
      <c r="D23" s="241" t="s">
        <v>81</v>
      </c>
      <c r="E23" s="236"/>
      <c r="F23" s="242">
        <v>1</v>
      </c>
      <c r="G23" s="238"/>
      <c r="H23" s="238"/>
      <c r="I23" s="101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239"/>
      <c r="AP23" s="239"/>
      <c r="AQ23" s="239"/>
      <c r="AR23" s="239"/>
      <c r="AS23" s="239"/>
      <c r="AT23" s="239"/>
      <c r="AU23" s="239"/>
      <c r="AV23" s="239"/>
      <c r="AW23" s="239"/>
      <c r="AX23" s="239"/>
      <c r="AY23" s="239"/>
      <c r="AZ23" s="239"/>
      <c r="BA23" s="239"/>
      <c r="BB23" s="239"/>
      <c r="BC23" s="239"/>
      <c r="BD23" s="239"/>
      <c r="BE23" s="239"/>
      <c r="BF23" s="239"/>
      <c r="BG23" s="239"/>
      <c r="BH23" s="239"/>
      <c r="BI23" s="239"/>
      <c r="BJ23" s="239"/>
      <c r="BK23" s="239"/>
      <c r="BL23" s="239"/>
      <c r="BM23" s="239"/>
      <c r="BN23" s="239"/>
      <c r="BO23" s="239"/>
      <c r="BP23" s="239"/>
      <c r="BQ23" s="239"/>
      <c r="BR23" s="239"/>
      <c r="BS23" s="239"/>
      <c r="BT23" s="239"/>
      <c r="BU23" s="239"/>
      <c r="BV23" s="239"/>
      <c r="BW23" s="239"/>
      <c r="BX23" s="239"/>
      <c r="BY23" s="239"/>
      <c r="BZ23" s="239"/>
      <c r="CA23" s="239"/>
      <c r="CB23" s="239"/>
      <c r="CC23" s="239"/>
      <c r="CD23" s="239"/>
      <c r="CE23" s="239"/>
      <c r="CF23" s="239"/>
      <c r="CG23" s="239"/>
      <c r="CH23" s="239"/>
      <c r="CI23" s="239"/>
      <c r="CJ23" s="239"/>
      <c r="CK23" s="239"/>
      <c r="CL23" s="239"/>
      <c r="CM23" s="239"/>
      <c r="CN23" s="239"/>
      <c r="CO23" s="239"/>
      <c r="CP23" s="239"/>
      <c r="CQ23" s="239"/>
      <c r="CR23" s="239"/>
      <c r="CS23" s="239"/>
      <c r="CT23" s="239"/>
      <c r="CU23" s="239"/>
      <c r="CV23" s="239"/>
      <c r="CW23" s="239"/>
    </row>
    <row r="24" spans="1:101" s="240" customFormat="1" ht="40.5" customHeight="1">
      <c r="A24" s="235"/>
      <c r="B24" s="236"/>
      <c r="C24" s="236"/>
      <c r="D24" s="241" t="s">
        <v>82</v>
      </c>
      <c r="E24" s="236"/>
      <c r="F24" s="237"/>
      <c r="G24" s="243"/>
      <c r="H24" s="238"/>
      <c r="I24" s="244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39"/>
      <c r="Y24" s="239"/>
      <c r="Z24" s="239"/>
      <c r="AA24" s="239"/>
      <c r="AB24" s="239"/>
      <c r="AC24" s="239"/>
      <c r="AD24" s="239"/>
      <c r="AE24" s="239"/>
      <c r="AF24" s="239"/>
      <c r="AG24" s="239"/>
      <c r="AH24" s="239"/>
      <c r="AI24" s="239"/>
      <c r="AJ24" s="239"/>
      <c r="AK24" s="239"/>
      <c r="AL24" s="239"/>
      <c r="AM24" s="239"/>
      <c r="AN24" s="239"/>
      <c r="AO24" s="239"/>
      <c r="AP24" s="239"/>
      <c r="AQ24" s="239"/>
      <c r="AR24" s="239"/>
      <c r="AS24" s="239"/>
      <c r="AT24" s="239"/>
      <c r="AU24" s="239"/>
      <c r="AV24" s="239"/>
      <c r="AW24" s="239"/>
      <c r="AX24" s="239"/>
      <c r="AY24" s="239"/>
      <c r="AZ24" s="239"/>
      <c r="BA24" s="239"/>
      <c r="BB24" s="239"/>
      <c r="BC24" s="239"/>
      <c r="BD24" s="239"/>
      <c r="BE24" s="239"/>
      <c r="BF24" s="239"/>
      <c r="BG24" s="239"/>
      <c r="BH24" s="239"/>
      <c r="BI24" s="239"/>
      <c r="BJ24" s="239"/>
      <c r="BK24" s="239"/>
      <c r="BL24" s="239"/>
      <c r="BM24" s="239"/>
      <c r="BN24" s="239"/>
      <c r="BO24" s="239"/>
      <c r="BP24" s="239"/>
      <c r="BQ24" s="239"/>
      <c r="BR24" s="239"/>
      <c r="BS24" s="239"/>
      <c r="BT24" s="239"/>
      <c r="BU24" s="239"/>
      <c r="BV24" s="239"/>
      <c r="BW24" s="239"/>
      <c r="BX24" s="239"/>
      <c r="BY24" s="239"/>
      <c r="BZ24" s="239"/>
      <c r="CA24" s="239"/>
      <c r="CB24" s="239"/>
      <c r="CC24" s="239"/>
      <c r="CD24" s="239"/>
      <c r="CE24" s="239"/>
      <c r="CF24" s="239"/>
      <c r="CG24" s="239"/>
      <c r="CH24" s="239"/>
      <c r="CI24" s="239"/>
      <c r="CJ24" s="239"/>
      <c r="CK24" s="239"/>
      <c r="CL24" s="239"/>
      <c r="CM24" s="239"/>
      <c r="CN24" s="239"/>
      <c r="CO24" s="239"/>
      <c r="CP24" s="239"/>
      <c r="CQ24" s="239"/>
      <c r="CR24" s="239"/>
      <c r="CS24" s="239"/>
      <c r="CT24" s="239"/>
      <c r="CU24" s="239"/>
      <c r="CV24" s="239"/>
      <c r="CW24" s="239"/>
    </row>
    <row r="25" spans="1:101" s="3" customFormat="1" ht="13.5" customHeight="1">
      <c r="A25" s="233"/>
      <c r="B25" s="68"/>
      <c r="C25" s="69"/>
      <c r="D25" s="76" t="s">
        <v>78</v>
      </c>
      <c r="E25" s="69"/>
      <c r="F25" s="77"/>
      <c r="G25" s="71"/>
      <c r="H25" s="71"/>
      <c r="I25" s="234"/>
      <c r="J25" s="375"/>
      <c r="K25" s="375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</row>
    <row r="26" spans="1:101" s="246" customFormat="1" ht="27" customHeight="1">
      <c r="A26" s="84">
        <v>4</v>
      </c>
      <c r="B26" s="68" t="s">
        <v>29</v>
      </c>
      <c r="C26" s="69" t="s">
        <v>83</v>
      </c>
      <c r="D26" s="105" t="s">
        <v>84</v>
      </c>
      <c r="E26" s="106" t="s">
        <v>40</v>
      </c>
      <c r="F26" s="121">
        <f>SUM(F28:F31)</f>
        <v>21</v>
      </c>
      <c r="G26" s="122"/>
      <c r="H26" s="90">
        <f>F26*G26</f>
        <v>0</v>
      </c>
      <c r="I26" s="101" t="s">
        <v>39</v>
      </c>
      <c r="J26" s="245"/>
    </row>
    <row r="27" spans="1:101" s="246" customFormat="1" ht="13.5" customHeight="1">
      <c r="A27" s="84"/>
      <c r="B27" s="247"/>
      <c r="C27" s="104"/>
      <c r="D27" s="76" t="s">
        <v>85</v>
      </c>
      <c r="E27" s="106"/>
      <c r="G27" s="122"/>
      <c r="H27" s="90"/>
      <c r="I27" s="72"/>
      <c r="J27" s="248"/>
    </row>
    <row r="28" spans="1:101" s="246" customFormat="1" ht="13.5" customHeight="1">
      <c r="A28" s="84"/>
      <c r="B28" s="247"/>
      <c r="C28" s="104"/>
      <c r="D28" s="76" t="s">
        <v>86</v>
      </c>
      <c r="E28" s="106"/>
      <c r="F28" s="249">
        <v>6</v>
      </c>
      <c r="G28" s="122"/>
      <c r="H28" s="90"/>
      <c r="I28" s="72"/>
    </row>
    <row r="29" spans="1:101" s="246" customFormat="1" ht="13.5" customHeight="1">
      <c r="A29" s="67"/>
      <c r="B29" s="68"/>
      <c r="C29" s="69"/>
      <c r="D29" s="76" t="s">
        <v>87</v>
      </c>
      <c r="E29" s="106"/>
      <c r="F29" s="249">
        <v>6</v>
      </c>
      <c r="G29" s="71"/>
      <c r="H29" s="71"/>
      <c r="I29" s="79"/>
    </row>
    <row r="30" spans="1:101" s="246" customFormat="1" ht="13.5" customHeight="1">
      <c r="A30" s="67"/>
      <c r="B30" s="68"/>
      <c r="C30" s="69"/>
      <c r="D30" s="76" t="s">
        <v>88</v>
      </c>
      <c r="E30" s="106"/>
      <c r="F30" s="249">
        <v>6</v>
      </c>
      <c r="G30" s="71"/>
      <c r="H30" s="71"/>
      <c r="I30" s="79"/>
    </row>
    <row r="31" spans="1:101" s="246" customFormat="1" ht="13.5" customHeight="1">
      <c r="A31" s="67"/>
      <c r="B31" s="68"/>
      <c r="C31" s="69"/>
      <c r="D31" s="76" t="s">
        <v>89</v>
      </c>
      <c r="E31" s="106"/>
      <c r="F31" s="249">
        <v>3</v>
      </c>
      <c r="G31" s="71"/>
      <c r="H31" s="71"/>
      <c r="I31" s="79"/>
    </row>
    <row r="32" spans="1:101" s="246" customFormat="1" ht="40.5" customHeight="1">
      <c r="A32" s="84"/>
      <c r="B32" s="247"/>
      <c r="C32" s="104"/>
      <c r="D32" s="76" t="s">
        <v>90</v>
      </c>
      <c r="E32" s="147"/>
      <c r="F32" s="159"/>
      <c r="G32" s="122"/>
      <c r="H32" s="90"/>
      <c r="I32" s="72"/>
      <c r="J32" s="250"/>
    </row>
    <row r="33" spans="1:101" s="12" customFormat="1" ht="27" customHeight="1">
      <c r="A33" s="67">
        <v>5</v>
      </c>
      <c r="B33" s="68" t="s">
        <v>29</v>
      </c>
      <c r="C33" s="69" t="s">
        <v>91</v>
      </c>
      <c r="D33" s="69" t="s">
        <v>92</v>
      </c>
      <c r="E33" s="69" t="s">
        <v>49</v>
      </c>
      <c r="F33" s="100">
        <f>SUM(F35:F37)</f>
        <v>4</v>
      </c>
      <c r="G33" s="71"/>
      <c r="H33" s="71">
        <f>F33*G33</f>
        <v>0</v>
      </c>
      <c r="I33" s="101" t="s">
        <v>39</v>
      </c>
      <c r="J33" s="376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</row>
    <row r="34" spans="1:101" s="12" customFormat="1" ht="13.5" customHeight="1">
      <c r="A34" s="67"/>
      <c r="B34" s="68"/>
      <c r="C34" s="69"/>
      <c r="D34" s="76" t="s">
        <v>93</v>
      </c>
      <c r="E34" s="69"/>
      <c r="F34" s="77"/>
      <c r="G34" s="71"/>
      <c r="H34" s="71"/>
      <c r="I34" s="352"/>
      <c r="J34" s="376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7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</row>
    <row r="35" spans="1:101" s="12" customFormat="1" ht="13.5" customHeight="1">
      <c r="A35" s="67"/>
      <c r="B35" s="68"/>
      <c r="C35" s="69"/>
      <c r="D35" s="76" t="s">
        <v>86</v>
      </c>
      <c r="E35" s="69"/>
      <c r="F35" s="249">
        <v>1</v>
      </c>
      <c r="G35" s="71"/>
      <c r="H35" s="71"/>
      <c r="I35" s="101"/>
      <c r="J35" s="376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</row>
    <row r="36" spans="1:101" s="12" customFormat="1" ht="13.5" customHeight="1">
      <c r="A36" s="67"/>
      <c r="B36" s="68"/>
      <c r="C36" s="69"/>
      <c r="D36" s="76" t="s">
        <v>87</v>
      </c>
      <c r="E36" s="69"/>
      <c r="F36" s="249">
        <v>1</v>
      </c>
      <c r="G36" s="71"/>
      <c r="H36" s="71"/>
      <c r="I36" s="101"/>
      <c r="J36" s="376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7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</row>
    <row r="37" spans="1:101" s="12" customFormat="1" ht="13.5" customHeight="1">
      <c r="A37" s="67"/>
      <c r="B37" s="68"/>
      <c r="C37" s="69"/>
      <c r="D37" s="76" t="s">
        <v>89</v>
      </c>
      <c r="E37" s="69"/>
      <c r="F37" s="249">
        <v>2</v>
      </c>
      <c r="G37" s="71"/>
      <c r="H37" s="71"/>
      <c r="I37" s="101"/>
      <c r="J37" s="376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</row>
    <row r="38" spans="1:101" s="12" customFormat="1" ht="40.5" customHeight="1">
      <c r="A38" s="61"/>
      <c r="B38" s="62"/>
      <c r="C38" s="63"/>
      <c r="D38" s="76" t="s">
        <v>94</v>
      </c>
      <c r="E38" s="63"/>
      <c r="F38" s="63"/>
      <c r="G38" s="65"/>
      <c r="H38" s="65"/>
      <c r="I38" s="66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</row>
    <row r="39" spans="1:101" s="12" customFormat="1" ht="13.5" customHeight="1">
      <c r="A39" s="61"/>
      <c r="B39" s="62"/>
      <c r="C39" s="63"/>
      <c r="D39" s="76" t="s">
        <v>95</v>
      </c>
      <c r="E39" s="63"/>
      <c r="F39" s="64"/>
      <c r="G39" s="65"/>
      <c r="H39" s="65"/>
      <c r="I39" s="66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</row>
    <row r="40" spans="1:101" s="12" customFormat="1" ht="13.5" customHeight="1">
      <c r="A40" s="67">
        <v>6</v>
      </c>
      <c r="B40" s="68" t="s">
        <v>29</v>
      </c>
      <c r="C40" s="69" t="s">
        <v>96</v>
      </c>
      <c r="D40" s="69" t="s">
        <v>97</v>
      </c>
      <c r="E40" s="69" t="s">
        <v>49</v>
      </c>
      <c r="F40" s="100">
        <f>SUM(F42:F46)</f>
        <v>29</v>
      </c>
      <c r="G40" s="71"/>
      <c r="H40" s="71">
        <f>F40*G40</f>
        <v>0</v>
      </c>
      <c r="I40" s="101" t="s">
        <v>39</v>
      </c>
      <c r="J40" s="376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  <c r="BI40" s="207"/>
      <c r="BJ40" s="207"/>
      <c r="BK40" s="207"/>
      <c r="BL40" s="207"/>
      <c r="BM40" s="207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</row>
    <row r="41" spans="1:101" s="12" customFormat="1" ht="27" customHeight="1">
      <c r="A41" s="61"/>
      <c r="B41" s="62"/>
      <c r="C41" s="63"/>
      <c r="D41" s="76" t="s">
        <v>98</v>
      </c>
      <c r="E41" s="63"/>
      <c r="F41" s="13"/>
      <c r="G41" s="65"/>
      <c r="H41" s="65"/>
      <c r="I41" s="352"/>
      <c r="J41" s="37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</row>
    <row r="42" spans="1:101" s="12" customFormat="1" ht="13.5" customHeight="1">
      <c r="A42" s="61"/>
      <c r="B42" s="62"/>
      <c r="C42" s="63"/>
      <c r="D42" s="76" t="s">
        <v>99</v>
      </c>
      <c r="E42" s="63"/>
      <c r="F42" s="77">
        <v>2</v>
      </c>
      <c r="G42" s="65"/>
      <c r="H42" s="65"/>
      <c r="I42" s="66"/>
      <c r="J42" s="37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  <c r="BI42" s="207"/>
      <c r="BJ42" s="207"/>
      <c r="BK42" s="207"/>
      <c r="BL42" s="207"/>
      <c r="BM42" s="207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</row>
    <row r="43" spans="1:101" s="12" customFormat="1" ht="13.5" customHeight="1">
      <c r="A43" s="61"/>
      <c r="B43" s="62"/>
      <c r="C43" s="63"/>
      <c r="D43" s="76" t="s">
        <v>100</v>
      </c>
      <c r="E43" s="63"/>
      <c r="F43" s="77">
        <f>6+1</f>
        <v>7</v>
      </c>
      <c r="G43" s="65"/>
      <c r="H43" s="65"/>
      <c r="I43" s="66"/>
      <c r="J43" s="37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  <c r="BI43" s="207"/>
      <c r="BJ43" s="207"/>
      <c r="BK43" s="207"/>
      <c r="BL43" s="207"/>
      <c r="BM43" s="207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</row>
    <row r="44" spans="1:101" s="12" customFormat="1" ht="13.5" customHeight="1">
      <c r="A44" s="61"/>
      <c r="B44" s="62"/>
      <c r="C44" s="63"/>
      <c r="D44" s="76" t="s">
        <v>101</v>
      </c>
      <c r="E44" s="63"/>
      <c r="F44" s="77">
        <f>6+1</f>
        <v>7</v>
      </c>
      <c r="G44" s="65"/>
      <c r="H44" s="65"/>
      <c r="I44" s="66"/>
      <c r="J44" s="37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  <c r="BI44" s="207"/>
      <c r="BJ44" s="207"/>
      <c r="BK44" s="207"/>
      <c r="BL44" s="207"/>
      <c r="BM44" s="207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</row>
    <row r="45" spans="1:101" s="12" customFormat="1" ht="13.5" customHeight="1">
      <c r="A45" s="61"/>
      <c r="B45" s="62"/>
      <c r="C45" s="63"/>
      <c r="D45" s="76" t="s">
        <v>102</v>
      </c>
      <c r="E45" s="63"/>
      <c r="F45" s="77">
        <v>9</v>
      </c>
      <c r="G45" s="65"/>
      <c r="H45" s="65"/>
      <c r="I45" s="66"/>
      <c r="J45" s="37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  <c r="BI45" s="207"/>
      <c r="BJ45" s="207"/>
      <c r="BK45" s="207"/>
      <c r="BL45" s="207"/>
      <c r="BM45" s="207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</row>
    <row r="46" spans="1:101" s="12" customFormat="1" ht="13.5" customHeight="1">
      <c r="A46" s="61"/>
      <c r="B46" s="62"/>
      <c r="C46" s="63"/>
      <c r="D46" s="76" t="s">
        <v>103</v>
      </c>
      <c r="E46" s="63"/>
      <c r="F46" s="77">
        <v>4</v>
      </c>
      <c r="G46" s="65"/>
      <c r="H46" s="65"/>
      <c r="I46" s="66"/>
      <c r="J46" s="37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</row>
    <row r="47" spans="1:101" s="12" customFormat="1" ht="13.5" customHeight="1">
      <c r="A47" s="61"/>
      <c r="B47" s="62"/>
      <c r="C47" s="63"/>
      <c r="D47" s="76" t="s">
        <v>95</v>
      </c>
      <c r="E47" s="63"/>
      <c r="F47" s="64"/>
      <c r="G47" s="65"/>
      <c r="H47" s="65"/>
      <c r="I47" s="66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</row>
    <row r="48" spans="1:101" s="345" customFormat="1" ht="27" customHeight="1">
      <c r="A48" s="84">
        <v>7</v>
      </c>
      <c r="B48" s="247" t="s">
        <v>38</v>
      </c>
      <c r="C48" s="104" t="s">
        <v>350</v>
      </c>
      <c r="D48" s="105" t="s">
        <v>351</v>
      </c>
      <c r="E48" s="106" t="s">
        <v>40</v>
      </c>
      <c r="F48" s="121">
        <f>SUM(F49)</f>
        <v>4</v>
      </c>
      <c r="G48" s="122"/>
      <c r="H48" s="90">
        <f>F48*G48</f>
        <v>0</v>
      </c>
      <c r="I48" s="218" t="s">
        <v>39</v>
      </c>
    </row>
    <row r="49" spans="1:101" s="345" customFormat="1" ht="13.5" customHeight="1">
      <c r="A49" s="84"/>
      <c r="B49" s="247"/>
      <c r="C49" s="104"/>
      <c r="D49" s="336" t="s">
        <v>352</v>
      </c>
      <c r="E49" s="106"/>
      <c r="F49" s="346">
        <f>1+1+1+1</f>
        <v>4</v>
      </c>
      <c r="G49" s="122"/>
      <c r="H49" s="90"/>
      <c r="I49" s="72"/>
    </row>
    <row r="50" spans="1:101" s="345" customFormat="1" ht="40.5" customHeight="1">
      <c r="A50" s="84"/>
      <c r="B50" s="247"/>
      <c r="C50" s="104"/>
      <c r="D50" s="336" t="s">
        <v>353</v>
      </c>
      <c r="E50" s="147"/>
      <c r="F50" s="159"/>
      <c r="G50" s="122"/>
      <c r="H50" s="90"/>
      <c r="I50" s="72"/>
    </row>
    <row r="51" spans="1:101" s="214" customFormat="1" ht="67.5" customHeight="1">
      <c r="A51" s="347"/>
      <c r="B51" s="348"/>
      <c r="C51" s="349"/>
      <c r="D51" s="350" t="s">
        <v>354</v>
      </c>
      <c r="E51" s="336"/>
      <c r="F51" s="341"/>
      <c r="G51" s="304"/>
      <c r="H51" s="304"/>
      <c r="I51" s="351"/>
      <c r="J51" s="207"/>
      <c r="K51" s="21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7"/>
      <c r="BR51" s="207"/>
      <c r="BS51" s="207"/>
      <c r="BT51" s="207"/>
      <c r="BU51" s="207"/>
      <c r="BV51" s="207"/>
      <c r="BW51" s="207"/>
      <c r="BX51" s="207"/>
      <c r="BY51" s="207"/>
      <c r="BZ51" s="207"/>
      <c r="CA51" s="207"/>
      <c r="CB51" s="207"/>
      <c r="CC51" s="207"/>
      <c r="CD51" s="207"/>
      <c r="CE51" s="207"/>
      <c r="CF51" s="207"/>
      <c r="CG51" s="207"/>
      <c r="CH51" s="207"/>
      <c r="CI51" s="207"/>
      <c r="CJ51" s="207"/>
      <c r="CK51" s="207"/>
      <c r="CL51" s="207"/>
      <c r="CM51" s="207"/>
      <c r="CN51" s="207"/>
      <c r="CO51" s="207"/>
      <c r="CP51" s="207"/>
      <c r="CQ51" s="207"/>
      <c r="CR51" s="207"/>
      <c r="CS51" s="207"/>
      <c r="CT51" s="207"/>
      <c r="CU51" s="207"/>
      <c r="CV51" s="207"/>
      <c r="CW51" s="207"/>
    </row>
    <row r="52" spans="1:101" s="73" customFormat="1" ht="13.5" customHeight="1">
      <c r="A52" s="67">
        <v>8</v>
      </c>
      <c r="B52" s="68" t="s">
        <v>29</v>
      </c>
      <c r="C52" s="69">
        <v>346272216</v>
      </c>
      <c r="D52" s="69" t="s">
        <v>104</v>
      </c>
      <c r="E52" s="69" t="s">
        <v>30</v>
      </c>
      <c r="F52" s="100">
        <f>SUM(F53:F54)</f>
        <v>3.9420000000000002</v>
      </c>
      <c r="G52" s="71"/>
      <c r="H52" s="71">
        <f>F52*G52</f>
        <v>0</v>
      </c>
      <c r="I52" s="101" t="s">
        <v>31</v>
      </c>
      <c r="J52" s="208"/>
      <c r="K52" s="207"/>
      <c r="L52" s="207"/>
      <c r="M52" s="207"/>
      <c r="N52" s="213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</row>
    <row r="53" spans="1:101" s="73" customFormat="1" ht="13.5" customHeight="1">
      <c r="A53" s="67"/>
      <c r="B53" s="69"/>
      <c r="C53" s="76"/>
      <c r="D53" s="76" t="s">
        <v>406</v>
      </c>
      <c r="E53" s="76"/>
      <c r="F53" s="77">
        <f>(0.45*3.65)*1.2</f>
        <v>1.9710000000000001</v>
      </c>
      <c r="G53" s="142"/>
      <c r="H53" s="142"/>
      <c r="I53" s="101"/>
      <c r="J53" s="208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</row>
    <row r="54" spans="1:101" s="73" customFormat="1" ht="13.5" customHeight="1">
      <c r="A54" s="67"/>
      <c r="B54" s="69"/>
      <c r="C54" s="76"/>
      <c r="D54" s="76" t="s">
        <v>407</v>
      </c>
      <c r="E54" s="76"/>
      <c r="F54" s="77">
        <f>(0.45*3.65)*1.2</f>
        <v>1.9710000000000001</v>
      </c>
      <c r="G54" s="142"/>
      <c r="H54" s="142"/>
      <c r="I54" s="101"/>
      <c r="J54" s="208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</row>
    <row r="55" spans="1:101" s="73" customFormat="1" ht="13.5" customHeight="1">
      <c r="A55" s="67">
        <v>9</v>
      </c>
      <c r="B55" s="68" t="s">
        <v>105</v>
      </c>
      <c r="C55" s="69">
        <v>349231811</v>
      </c>
      <c r="D55" s="69" t="s">
        <v>106</v>
      </c>
      <c r="E55" s="69" t="s">
        <v>30</v>
      </c>
      <c r="F55" s="100">
        <f>SUM(F56:F57)</f>
        <v>0.60599999999999998</v>
      </c>
      <c r="G55" s="71"/>
      <c r="H55" s="71">
        <f>F55*G55</f>
        <v>0</v>
      </c>
      <c r="I55" s="101" t="s">
        <v>31</v>
      </c>
      <c r="J55" s="208"/>
      <c r="K55" s="207"/>
      <c r="L55" s="207"/>
      <c r="M55" s="207"/>
      <c r="N55" s="213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</row>
    <row r="56" spans="1:101" s="73" customFormat="1" ht="13.5" customHeight="1">
      <c r="A56" s="67"/>
      <c r="B56" s="69"/>
      <c r="C56" s="76"/>
      <c r="D56" s="76" t="s">
        <v>408</v>
      </c>
      <c r="E56" s="76"/>
      <c r="F56" s="77">
        <f>(0.15*2.02)*1.2</f>
        <v>0.36359999999999998</v>
      </c>
      <c r="G56" s="142"/>
      <c r="H56" s="142"/>
      <c r="I56" s="101"/>
      <c r="J56" s="208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</row>
    <row r="57" spans="1:101" s="73" customFormat="1" ht="13.5" customHeight="1">
      <c r="A57" s="67"/>
      <c r="B57" s="69"/>
      <c r="C57" s="76"/>
      <c r="D57" s="76" t="s">
        <v>409</v>
      </c>
      <c r="E57" s="76"/>
      <c r="F57" s="77">
        <f>(0.1*2.02)*1.2</f>
        <v>0.2424</v>
      </c>
      <c r="G57" s="142"/>
      <c r="H57" s="142"/>
      <c r="I57" s="101"/>
      <c r="J57" s="208"/>
      <c r="K57" s="207"/>
      <c r="L57" s="207"/>
      <c r="M57" s="207"/>
      <c r="N57" s="207"/>
      <c r="O57" s="207"/>
      <c r="P57" s="213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</row>
    <row r="58" spans="1:101" s="73" customFormat="1" ht="13.5" customHeight="1">
      <c r="A58" s="74"/>
      <c r="B58" s="75"/>
      <c r="C58" s="75"/>
      <c r="D58" s="76" t="s">
        <v>107</v>
      </c>
      <c r="E58" s="75"/>
      <c r="F58" s="158"/>
      <c r="G58" s="78"/>
      <c r="H58" s="78"/>
      <c r="I58" s="79"/>
      <c r="J58" s="208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</row>
    <row r="59" spans="1:101" s="12" customFormat="1" ht="13.5" customHeight="1">
      <c r="A59" s="61"/>
      <c r="B59" s="62"/>
      <c r="C59" s="63" t="s">
        <v>27</v>
      </c>
      <c r="D59" s="63" t="s">
        <v>8</v>
      </c>
      <c r="E59" s="63"/>
      <c r="F59" s="64"/>
      <c r="G59" s="65"/>
      <c r="H59" s="65">
        <f>SUM(H60:H140)</f>
        <v>0</v>
      </c>
      <c r="I59" s="66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  <c r="BI59" s="207"/>
      <c r="BJ59" s="207"/>
      <c r="BK59" s="207"/>
      <c r="BL59" s="207"/>
      <c r="BM59" s="207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</row>
    <row r="60" spans="1:101" s="8" customFormat="1" ht="13.5" customHeight="1">
      <c r="A60" s="67">
        <v>10</v>
      </c>
      <c r="B60" s="68" t="s">
        <v>105</v>
      </c>
      <c r="C60" s="69">
        <v>611315413</v>
      </c>
      <c r="D60" s="69" t="s">
        <v>108</v>
      </c>
      <c r="E60" s="69" t="s">
        <v>30</v>
      </c>
      <c r="F60" s="70">
        <f>SUM(F63:F68)</f>
        <v>170.04000000000002</v>
      </c>
      <c r="G60" s="71"/>
      <c r="H60" s="71">
        <f>F60*G60</f>
        <v>0</v>
      </c>
      <c r="I60" s="101" t="s">
        <v>31</v>
      </c>
      <c r="J60" s="213"/>
      <c r="K60" s="210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  <c r="BI60" s="207"/>
      <c r="BJ60" s="207"/>
      <c r="BK60" s="207"/>
      <c r="BL60" s="207"/>
      <c r="BM60" s="207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</row>
    <row r="61" spans="1:101" s="8" customFormat="1" ht="13.5" customHeight="1">
      <c r="A61" s="233"/>
      <c r="B61" s="63"/>
      <c r="C61" s="63"/>
      <c r="D61" s="76" t="s">
        <v>109</v>
      </c>
      <c r="E61" s="69"/>
      <c r="F61" s="77"/>
      <c r="G61" s="65"/>
      <c r="H61" s="65"/>
      <c r="I61" s="251"/>
      <c r="J61" s="213"/>
      <c r="K61" s="207"/>
      <c r="L61" s="207"/>
      <c r="M61" s="207"/>
      <c r="N61" s="38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  <c r="BI61" s="207"/>
      <c r="BJ61" s="207"/>
      <c r="BK61" s="207"/>
      <c r="BL61" s="207"/>
      <c r="BM61" s="207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</row>
    <row r="62" spans="1:101" s="12" customFormat="1" ht="13.5" customHeight="1">
      <c r="A62" s="61"/>
      <c r="B62" s="62"/>
      <c r="C62" s="63"/>
      <c r="D62" s="118" t="s">
        <v>110</v>
      </c>
      <c r="E62" s="63"/>
      <c r="F62" s="119"/>
      <c r="G62" s="65"/>
      <c r="H62" s="65"/>
      <c r="I62" s="66"/>
      <c r="J62" s="213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  <c r="BI62" s="207"/>
      <c r="BJ62" s="207"/>
      <c r="BK62" s="207"/>
      <c r="BL62" s="207"/>
      <c r="BM62" s="207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</row>
    <row r="63" spans="1:101" s="12" customFormat="1" ht="13.5" customHeight="1">
      <c r="A63" s="61"/>
      <c r="B63" s="62"/>
      <c r="C63" s="63"/>
      <c r="D63" s="118" t="s">
        <v>111</v>
      </c>
      <c r="E63" s="63"/>
      <c r="F63" s="119">
        <f>3.1+3.04+3.9+1.89</f>
        <v>11.930000000000001</v>
      </c>
      <c r="G63" s="65"/>
      <c r="H63" s="65"/>
      <c r="I63" s="66"/>
      <c r="J63" s="213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  <c r="BI63" s="207"/>
      <c r="BJ63" s="207"/>
      <c r="BK63" s="207"/>
      <c r="BL63" s="207"/>
      <c r="BM63" s="207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</row>
    <row r="64" spans="1:101" s="12" customFormat="1" ht="13.5" customHeight="1">
      <c r="A64" s="61"/>
      <c r="B64" s="62"/>
      <c r="C64" s="63"/>
      <c r="D64" s="118" t="s">
        <v>112</v>
      </c>
      <c r="E64" s="63"/>
      <c r="F64" s="119">
        <f>4.5+3.15+5.06+15.53+6.88+4.45+1.51+4.11</f>
        <v>45.190000000000005</v>
      </c>
      <c r="G64" s="65"/>
      <c r="H64" s="65"/>
      <c r="I64" s="66"/>
      <c r="J64" s="213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  <c r="BI64" s="207"/>
      <c r="BJ64" s="207"/>
      <c r="BK64" s="207"/>
      <c r="BL64" s="207"/>
      <c r="BM64" s="207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</row>
    <row r="65" spans="1:256" s="12" customFormat="1" ht="13.5" customHeight="1">
      <c r="A65" s="61"/>
      <c r="B65" s="62"/>
      <c r="C65" s="63"/>
      <c r="D65" s="118" t="s">
        <v>113</v>
      </c>
      <c r="E65" s="63"/>
      <c r="F65" s="119">
        <f>15.55+4+1.61+4.45+6.88+4.17+3.02+4.87</f>
        <v>44.550000000000004</v>
      </c>
      <c r="G65" s="65"/>
      <c r="H65" s="65"/>
      <c r="I65" s="66"/>
      <c r="J65" s="213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/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  <c r="BI65" s="207"/>
      <c r="BJ65" s="207"/>
      <c r="BK65" s="207"/>
      <c r="BL65" s="207"/>
      <c r="BM65" s="207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</row>
    <row r="66" spans="1:256" s="12" customFormat="1" ht="13.5" customHeight="1">
      <c r="A66" s="61"/>
      <c r="B66" s="62"/>
      <c r="C66" s="63"/>
      <c r="D66" s="118" t="s">
        <v>114</v>
      </c>
      <c r="E66" s="63"/>
      <c r="F66" s="119">
        <f>7.75+1.49+3.36+9.9+4.73+6.85+2.08+3.08+7</f>
        <v>46.239999999999995</v>
      </c>
      <c r="G66" s="65"/>
      <c r="H66" s="65"/>
      <c r="I66" s="66"/>
      <c r="J66" s="213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  <c r="BI66" s="207"/>
      <c r="BJ66" s="207"/>
      <c r="BK66" s="207"/>
      <c r="BL66" s="207"/>
      <c r="BM66" s="207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</row>
    <row r="67" spans="1:256" s="12" customFormat="1" ht="13.5" customHeight="1">
      <c r="A67" s="61"/>
      <c r="B67" s="62"/>
      <c r="C67" s="63"/>
      <c r="D67" s="118" t="s">
        <v>115</v>
      </c>
      <c r="E67" s="63"/>
      <c r="F67" s="119">
        <f>1.65+4.22+2.89+4.83+2.28+2.94</f>
        <v>18.809999999999999</v>
      </c>
      <c r="G67" s="65"/>
      <c r="H67" s="65"/>
      <c r="I67" s="66"/>
      <c r="J67" s="213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  <c r="BI67" s="207"/>
      <c r="BJ67" s="207"/>
      <c r="BK67" s="207"/>
      <c r="BL67" s="207"/>
      <c r="BM67" s="207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</row>
    <row r="68" spans="1:256" s="12" customFormat="1" ht="13.5" customHeight="1">
      <c r="A68" s="61"/>
      <c r="B68" s="62"/>
      <c r="C68" s="63"/>
      <c r="D68" s="118" t="s">
        <v>116</v>
      </c>
      <c r="E68" s="63"/>
      <c r="F68" s="119">
        <f>3.32</f>
        <v>3.32</v>
      </c>
      <c r="G68" s="65"/>
      <c r="H68" s="65"/>
      <c r="I68" s="66"/>
      <c r="J68" s="213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  <c r="BI68" s="207"/>
      <c r="BJ68" s="207"/>
      <c r="BK68" s="207"/>
      <c r="BL68" s="207"/>
      <c r="BM68" s="207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</row>
    <row r="69" spans="1:256" s="115" customFormat="1" ht="13.5" customHeight="1">
      <c r="A69" s="353"/>
      <c r="B69" s="354"/>
      <c r="C69" s="335"/>
      <c r="D69" s="336" t="s">
        <v>355</v>
      </c>
      <c r="E69" s="335"/>
      <c r="F69" s="341"/>
      <c r="G69" s="355"/>
      <c r="H69" s="355"/>
      <c r="I69" s="356"/>
      <c r="J69" s="120"/>
      <c r="K69" s="212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  <c r="BI69" s="207"/>
      <c r="BJ69" s="207"/>
      <c r="BK69" s="207"/>
      <c r="BL69" s="207"/>
      <c r="BM69" s="207"/>
      <c r="BN69" s="207"/>
      <c r="BO69" s="207"/>
      <c r="BP69" s="207"/>
      <c r="BQ69" s="207"/>
      <c r="BR69" s="207"/>
      <c r="BS69" s="207"/>
      <c r="BT69" s="207"/>
      <c r="BU69" s="207"/>
      <c r="BV69" s="207"/>
      <c r="BW69" s="207"/>
      <c r="BX69" s="207"/>
      <c r="BY69" s="207"/>
      <c r="BZ69" s="207"/>
      <c r="CA69" s="207"/>
      <c r="CB69" s="207"/>
      <c r="CC69" s="207"/>
      <c r="CD69" s="207"/>
      <c r="CE69" s="207"/>
      <c r="CF69" s="207"/>
      <c r="CG69" s="207"/>
      <c r="CH69" s="207"/>
      <c r="CI69" s="207"/>
      <c r="CJ69" s="207"/>
      <c r="CK69" s="207"/>
      <c r="CL69" s="207"/>
      <c r="CM69" s="207"/>
      <c r="CN69" s="207"/>
      <c r="CO69" s="207"/>
      <c r="CP69" s="207"/>
      <c r="CQ69" s="207"/>
      <c r="CR69" s="207"/>
      <c r="CS69" s="207"/>
      <c r="CT69" s="207"/>
      <c r="CU69" s="207"/>
      <c r="CV69" s="207"/>
      <c r="CW69" s="207"/>
      <c r="CX69" s="207"/>
      <c r="CY69" s="207"/>
      <c r="CZ69" s="207"/>
      <c r="DA69" s="207"/>
      <c r="DB69" s="207"/>
      <c r="DC69" s="207"/>
      <c r="DD69" s="207"/>
      <c r="DE69" s="207"/>
      <c r="DF69" s="207"/>
      <c r="DG69" s="207"/>
      <c r="DH69" s="207"/>
      <c r="DI69" s="207"/>
      <c r="DJ69" s="207"/>
      <c r="DK69" s="207"/>
      <c r="DL69" s="207"/>
      <c r="DM69" s="207"/>
      <c r="DN69" s="207"/>
      <c r="DO69" s="207"/>
      <c r="DP69" s="207"/>
      <c r="DQ69" s="207"/>
      <c r="DR69" s="207"/>
      <c r="DS69" s="207"/>
      <c r="DT69" s="207"/>
      <c r="DU69" s="207"/>
      <c r="DV69" s="207"/>
      <c r="DW69" s="207"/>
      <c r="DX69" s="207"/>
      <c r="DY69" s="207"/>
      <c r="DZ69" s="207"/>
      <c r="EA69" s="207"/>
      <c r="EB69" s="207"/>
      <c r="EC69" s="207"/>
      <c r="ED69" s="207"/>
      <c r="EE69" s="207"/>
      <c r="EF69" s="207"/>
      <c r="EG69" s="207"/>
      <c r="EH69" s="207"/>
      <c r="EI69" s="207"/>
      <c r="EJ69" s="207"/>
      <c r="EK69" s="207"/>
      <c r="EL69" s="207"/>
      <c r="EM69" s="207"/>
      <c r="EN69" s="207"/>
      <c r="EO69" s="207"/>
      <c r="EP69" s="207"/>
      <c r="EQ69" s="207"/>
      <c r="ER69" s="207"/>
      <c r="ES69" s="207"/>
      <c r="ET69" s="207"/>
      <c r="EU69" s="207"/>
      <c r="EV69" s="207"/>
      <c r="EW69" s="207"/>
      <c r="EX69" s="207"/>
      <c r="EY69" s="207"/>
      <c r="EZ69" s="207"/>
      <c r="FA69" s="207"/>
      <c r="FB69" s="207"/>
      <c r="FC69" s="207"/>
      <c r="FD69" s="207"/>
      <c r="FE69" s="207"/>
      <c r="FF69" s="207"/>
      <c r="FG69" s="207"/>
      <c r="FH69" s="207"/>
      <c r="FI69" s="207"/>
      <c r="FJ69" s="207"/>
      <c r="FK69" s="207"/>
      <c r="FL69" s="207"/>
      <c r="FM69" s="207"/>
      <c r="FN69" s="207"/>
      <c r="FO69" s="207"/>
      <c r="FP69" s="207"/>
      <c r="FQ69" s="207"/>
      <c r="FR69" s="207"/>
      <c r="FS69" s="207"/>
      <c r="FT69" s="207"/>
      <c r="FU69" s="207"/>
      <c r="FV69" s="207"/>
      <c r="FW69" s="207"/>
      <c r="FX69" s="207"/>
      <c r="FY69" s="207"/>
      <c r="FZ69" s="207"/>
      <c r="GA69" s="207"/>
      <c r="GB69" s="207"/>
      <c r="GC69" s="207"/>
      <c r="GD69" s="207"/>
      <c r="GE69" s="207"/>
      <c r="GF69" s="207"/>
      <c r="GG69" s="207"/>
      <c r="GH69" s="207"/>
      <c r="GI69" s="207"/>
      <c r="GJ69" s="207"/>
      <c r="GK69" s="207"/>
      <c r="GL69" s="207"/>
      <c r="GM69" s="214"/>
      <c r="GN69" s="214"/>
      <c r="GO69" s="214"/>
      <c r="GP69" s="214"/>
      <c r="GQ69" s="214"/>
      <c r="GR69" s="214"/>
      <c r="GS69" s="214"/>
      <c r="GT69" s="214"/>
      <c r="GU69" s="214"/>
      <c r="GV69" s="214"/>
      <c r="GW69" s="214"/>
      <c r="GX69" s="214"/>
      <c r="GY69" s="214"/>
      <c r="GZ69" s="214"/>
      <c r="HA69" s="214"/>
      <c r="HB69" s="214"/>
      <c r="HC69" s="214"/>
      <c r="HD69" s="214"/>
      <c r="HE69" s="214"/>
      <c r="HF69" s="214"/>
      <c r="HG69" s="214"/>
      <c r="HH69" s="214"/>
      <c r="HI69" s="214"/>
      <c r="HJ69" s="214"/>
      <c r="HK69" s="214"/>
      <c r="HL69" s="214"/>
      <c r="HM69" s="214"/>
      <c r="HN69" s="214"/>
      <c r="HO69" s="214"/>
      <c r="HP69" s="214"/>
      <c r="HQ69" s="214"/>
      <c r="HR69" s="214"/>
      <c r="HS69" s="214"/>
      <c r="HT69" s="214"/>
      <c r="HU69" s="214"/>
      <c r="HV69" s="214"/>
      <c r="HW69" s="214"/>
      <c r="HX69" s="214"/>
      <c r="HY69" s="214"/>
      <c r="HZ69" s="214"/>
      <c r="IA69" s="214"/>
      <c r="IB69" s="214"/>
      <c r="IC69" s="214"/>
      <c r="ID69" s="214"/>
      <c r="IE69" s="214"/>
      <c r="IF69" s="214"/>
      <c r="IG69" s="214"/>
      <c r="IH69" s="214"/>
      <c r="II69" s="214"/>
      <c r="IJ69" s="214"/>
      <c r="IK69" s="214"/>
      <c r="IL69" s="214"/>
      <c r="IM69" s="214"/>
      <c r="IN69" s="214"/>
      <c r="IO69" s="214"/>
      <c r="IP69" s="214"/>
      <c r="IQ69" s="214"/>
      <c r="IR69" s="214"/>
      <c r="IS69" s="214"/>
      <c r="IT69" s="214"/>
      <c r="IU69" s="214"/>
      <c r="IV69" s="214"/>
    </row>
    <row r="70" spans="1:256" s="8" customFormat="1" ht="13.5" customHeight="1">
      <c r="A70" s="67">
        <v>11</v>
      </c>
      <c r="B70" s="68" t="s">
        <v>105</v>
      </c>
      <c r="C70" s="69">
        <v>611315453</v>
      </c>
      <c r="D70" s="69" t="s">
        <v>456</v>
      </c>
      <c r="E70" s="69" t="s">
        <v>30</v>
      </c>
      <c r="F70" s="70">
        <f>SUM(F72:F72)</f>
        <v>340.08</v>
      </c>
      <c r="G70" s="71"/>
      <c r="H70" s="71">
        <f>F70*G70</f>
        <v>0</v>
      </c>
      <c r="I70" s="101" t="s">
        <v>31</v>
      </c>
      <c r="J70" s="358"/>
      <c r="K70" s="210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</row>
    <row r="71" spans="1:256" s="8" customFormat="1" ht="13.5" customHeight="1">
      <c r="A71" s="233"/>
      <c r="B71" s="63"/>
      <c r="C71" s="63"/>
      <c r="D71" s="76" t="s">
        <v>457</v>
      </c>
      <c r="E71" s="69"/>
      <c r="F71" s="77"/>
      <c r="G71" s="65"/>
      <c r="H71" s="65"/>
      <c r="I71" s="251"/>
      <c r="J71" s="410"/>
      <c r="K71" s="207"/>
      <c r="L71" s="207"/>
      <c r="M71" s="207"/>
      <c r="N71" s="38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</row>
    <row r="72" spans="1:256" s="8" customFormat="1" ht="13.5" customHeight="1">
      <c r="A72" s="233"/>
      <c r="B72" s="63"/>
      <c r="C72" s="63"/>
      <c r="D72" s="76" t="s">
        <v>458</v>
      </c>
      <c r="E72" s="69"/>
      <c r="F72" s="77">
        <f>(11.93+45.19+44.55+46.24+18.81+3.32)*2</f>
        <v>340.08</v>
      </c>
      <c r="G72" s="65"/>
      <c r="H72" s="65"/>
      <c r="I72" s="251"/>
      <c r="J72" s="213"/>
      <c r="K72" s="207"/>
      <c r="L72" s="207"/>
      <c r="M72" s="207"/>
      <c r="N72" s="38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</row>
    <row r="73" spans="1:256" s="8" customFormat="1" ht="13.5" customHeight="1">
      <c r="A73" s="67">
        <v>12</v>
      </c>
      <c r="B73" s="68" t="s">
        <v>29</v>
      </c>
      <c r="C73" s="69">
        <v>612131111</v>
      </c>
      <c r="D73" s="69" t="s">
        <v>117</v>
      </c>
      <c r="E73" s="69" t="s">
        <v>30</v>
      </c>
      <c r="F73" s="70">
        <f>SUM(F75:F75)</f>
        <v>328.2</v>
      </c>
      <c r="G73" s="71"/>
      <c r="H73" s="71">
        <f>F73*G73</f>
        <v>0</v>
      </c>
      <c r="I73" s="101" t="s">
        <v>31</v>
      </c>
      <c r="J73" s="213"/>
      <c r="K73" s="210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  <c r="BI73" s="207"/>
      <c r="BJ73" s="207"/>
      <c r="BK73" s="207"/>
      <c r="BL73" s="207"/>
      <c r="BM73" s="207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</row>
    <row r="74" spans="1:256" s="8" customFormat="1" ht="13.5" customHeight="1">
      <c r="A74" s="233"/>
      <c r="B74" s="63"/>
      <c r="C74" s="63"/>
      <c r="D74" s="76" t="s">
        <v>118</v>
      </c>
      <c r="E74" s="69"/>
      <c r="F74" s="77"/>
      <c r="G74" s="65"/>
      <c r="H74" s="65"/>
      <c r="I74" s="251"/>
      <c r="J74" s="213"/>
      <c r="K74" s="207"/>
      <c r="L74" s="207"/>
      <c r="M74" s="207"/>
      <c r="N74" s="38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  <c r="BI74" s="207"/>
      <c r="BJ74" s="207"/>
      <c r="BK74" s="207"/>
      <c r="BL74" s="207"/>
      <c r="BM74" s="207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</row>
    <row r="75" spans="1:256" s="8" customFormat="1" ht="13.5" customHeight="1">
      <c r="A75" s="233"/>
      <c r="B75" s="63"/>
      <c r="C75" s="63"/>
      <c r="D75" s="76" t="s">
        <v>119</v>
      </c>
      <c r="E75" s="69"/>
      <c r="F75" s="77">
        <f>328.2</f>
        <v>328.2</v>
      </c>
      <c r="G75" s="65"/>
      <c r="H75" s="65"/>
      <c r="I75" s="251"/>
      <c r="J75" s="207"/>
      <c r="K75" s="207"/>
      <c r="L75" s="207"/>
      <c r="M75" s="207"/>
      <c r="N75" s="38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  <c r="BI75" s="207"/>
      <c r="BJ75" s="207"/>
      <c r="BK75" s="207"/>
      <c r="BL75" s="207"/>
      <c r="BM75" s="207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</row>
    <row r="76" spans="1:256" s="8" customFormat="1" ht="13.5" customHeight="1">
      <c r="A76" s="67">
        <v>13</v>
      </c>
      <c r="B76" s="68" t="s">
        <v>29</v>
      </c>
      <c r="C76" s="69">
        <v>612131121</v>
      </c>
      <c r="D76" s="69" t="s">
        <v>120</v>
      </c>
      <c r="E76" s="69" t="s">
        <v>30</v>
      </c>
      <c r="F76" s="70">
        <f>SUM(F78:F78)</f>
        <v>251.63</v>
      </c>
      <c r="G76" s="71"/>
      <c r="H76" s="71">
        <f>F76*G76</f>
        <v>0</v>
      </c>
      <c r="I76" s="101" t="s">
        <v>31</v>
      </c>
      <c r="J76" s="213"/>
      <c r="K76" s="210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  <c r="BI76" s="207"/>
      <c r="BJ76" s="207"/>
      <c r="BK76" s="207"/>
      <c r="BL76" s="207"/>
      <c r="BM76" s="207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</row>
    <row r="77" spans="1:256" s="8" customFormat="1" ht="13.5" customHeight="1">
      <c r="A77" s="233"/>
      <c r="B77" s="63"/>
      <c r="C77" s="63"/>
      <c r="D77" s="76" t="s">
        <v>121</v>
      </c>
      <c r="E77" s="69"/>
      <c r="F77" s="77"/>
      <c r="G77" s="65"/>
      <c r="H77" s="65"/>
      <c r="I77" s="251"/>
      <c r="J77" s="213"/>
      <c r="K77" s="207"/>
      <c r="L77" s="207"/>
      <c r="M77" s="207"/>
      <c r="N77" s="38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  <c r="BI77" s="207"/>
      <c r="BJ77" s="207"/>
      <c r="BK77" s="207"/>
      <c r="BL77" s="207"/>
      <c r="BM77" s="207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</row>
    <row r="78" spans="1:256" s="8" customFormat="1" ht="27" customHeight="1">
      <c r="A78" s="233"/>
      <c r="B78" s="63"/>
      <c r="C78" s="63"/>
      <c r="D78" s="76" t="s">
        <v>122</v>
      </c>
      <c r="E78" s="69"/>
      <c r="F78" s="77">
        <f>15.98+68.31+66.83+66.75+28.88+4.88</f>
        <v>251.63</v>
      </c>
      <c r="G78" s="65"/>
      <c r="H78" s="65"/>
      <c r="I78" s="251"/>
      <c r="J78" s="120"/>
      <c r="K78" s="207"/>
      <c r="L78" s="207"/>
      <c r="M78" s="207"/>
      <c r="N78" s="38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</row>
    <row r="79" spans="1:256" s="12" customFormat="1" ht="13.5" customHeight="1">
      <c r="A79" s="67">
        <v>14</v>
      </c>
      <c r="B79" s="68" t="s">
        <v>29</v>
      </c>
      <c r="C79" s="69">
        <v>612135000</v>
      </c>
      <c r="D79" s="69" t="s">
        <v>123</v>
      </c>
      <c r="E79" s="69" t="s">
        <v>30</v>
      </c>
      <c r="F79" s="100">
        <f>SUM(F81:F86)</f>
        <v>328.20000000000005</v>
      </c>
      <c r="G79" s="71"/>
      <c r="H79" s="71">
        <f>F79*G79</f>
        <v>0</v>
      </c>
      <c r="I79" s="101" t="s">
        <v>31</v>
      </c>
      <c r="J79" s="378"/>
      <c r="K79" s="297"/>
      <c r="L79" s="298"/>
      <c r="M79" s="299"/>
      <c r="N79" s="300"/>
      <c r="O79" s="207"/>
      <c r="P79" s="301"/>
      <c r="Q79" s="207"/>
      <c r="R79" s="302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  <c r="BI79" s="207"/>
      <c r="BJ79" s="207"/>
      <c r="BK79" s="207"/>
      <c r="BL79" s="207"/>
      <c r="BM79" s="207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</row>
    <row r="80" spans="1:256" s="12" customFormat="1" ht="27" customHeight="1">
      <c r="A80" s="67"/>
      <c r="B80" s="68"/>
      <c r="C80" s="69"/>
      <c r="D80" s="76" t="s">
        <v>124</v>
      </c>
      <c r="E80" s="69"/>
      <c r="F80" s="100"/>
      <c r="G80" s="71"/>
      <c r="H80" s="71"/>
      <c r="I80" s="101"/>
      <c r="J80" s="379"/>
      <c r="K80" s="297"/>
      <c r="L80" s="298"/>
      <c r="M80" s="299"/>
      <c r="N80" s="300"/>
      <c r="O80" s="207"/>
      <c r="P80" s="301"/>
      <c r="Q80" s="207"/>
      <c r="R80" s="302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/>
      <c r="AF80" s="207"/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  <c r="BI80" s="207"/>
      <c r="BJ80" s="207"/>
      <c r="BK80" s="207"/>
      <c r="BL80" s="207"/>
      <c r="BM80" s="207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</row>
    <row r="81" spans="1:256" s="12" customFormat="1" ht="13.5" customHeight="1">
      <c r="A81" s="67"/>
      <c r="B81" s="69"/>
      <c r="C81" s="69"/>
      <c r="D81" s="76" t="s">
        <v>125</v>
      </c>
      <c r="E81" s="69"/>
      <c r="F81" s="77">
        <f>35.5</f>
        <v>35.5</v>
      </c>
      <c r="G81" s="71"/>
      <c r="H81" s="71"/>
      <c r="I81" s="101"/>
      <c r="J81" s="210"/>
      <c r="K81" s="207"/>
      <c r="L81" s="207"/>
      <c r="M81" s="207"/>
      <c r="N81" s="207"/>
      <c r="O81" s="207"/>
      <c r="P81" s="301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/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  <c r="BI81" s="207"/>
      <c r="BJ81" s="207"/>
      <c r="BK81" s="207"/>
      <c r="BL81" s="207"/>
      <c r="BM81" s="207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</row>
    <row r="82" spans="1:256" s="12" customFormat="1" ht="13.5" customHeight="1">
      <c r="A82" s="67"/>
      <c r="B82" s="69"/>
      <c r="C82" s="69"/>
      <c r="D82" s="76" t="s">
        <v>126</v>
      </c>
      <c r="E82" s="69"/>
      <c r="F82" s="77">
        <f>82.8</f>
        <v>82.8</v>
      </c>
      <c r="G82" s="71"/>
      <c r="H82" s="71"/>
      <c r="I82" s="101"/>
      <c r="J82" s="210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  <c r="BI82" s="207"/>
      <c r="BJ82" s="207"/>
      <c r="BK82" s="207"/>
      <c r="BL82" s="207"/>
      <c r="BM82" s="207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</row>
    <row r="83" spans="1:256" s="73" customFormat="1" ht="13.5" customHeight="1">
      <c r="A83" s="74"/>
      <c r="B83" s="75"/>
      <c r="C83" s="75"/>
      <c r="D83" s="76" t="s">
        <v>127</v>
      </c>
      <c r="E83" s="69"/>
      <c r="F83" s="77">
        <f>81</f>
        <v>81</v>
      </c>
      <c r="G83" s="78"/>
      <c r="H83" s="78"/>
      <c r="I83" s="79"/>
      <c r="J83" s="208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  <c r="BI83" s="207"/>
      <c r="BJ83" s="207"/>
      <c r="BK83" s="207"/>
      <c r="BL83" s="207"/>
      <c r="BM83" s="207"/>
    </row>
    <row r="84" spans="1:256" s="12" customFormat="1" ht="13.5" customHeight="1">
      <c r="A84" s="67"/>
      <c r="B84" s="69"/>
      <c r="C84" s="69"/>
      <c r="D84" s="76" t="s">
        <v>128</v>
      </c>
      <c r="E84" s="69"/>
      <c r="F84" s="77">
        <f>80.9</f>
        <v>80.900000000000006</v>
      </c>
      <c r="G84" s="71"/>
      <c r="H84" s="71"/>
      <c r="I84" s="101"/>
      <c r="J84" s="210"/>
      <c r="K84" s="207"/>
      <c r="L84" s="207"/>
      <c r="M84" s="207"/>
      <c r="N84" s="207"/>
      <c r="O84" s="207"/>
      <c r="P84" s="301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  <c r="BI84" s="207"/>
      <c r="BJ84" s="207"/>
      <c r="BK84" s="207"/>
      <c r="BL84" s="207"/>
      <c r="BM84" s="207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</row>
    <row r="85" spans="1:256" s="12" customFormat="1" ht="13.5" customHeight="1">
      <c r="A85" s="67"/>
      <c r="B85" s="69"/>
      <c r="C85" s="69"/>
      <c r="D85" s="76" t="s">
        <v>129</v>
      </c>
      <c r="E85" s="69"/>
      <c r="F85" s="77">
        <f>35</f>
        <v>35</v>
      </c>
      <c r="G85" s="71"/>
      <c r="H85" s="71"/>
      <c r="I85" s="101"/>
      <c r="J85" s="210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  <c r="BI85" s="207"/>
      <c r="BJ85" s="207"/>
      <c r="BK85" s="207"/>
      <c r="BL85" s="207"/>
      <c r="BM85" s="207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</row>
    <row r="86" spans="1:256" s="73" customFormat="1" ht="13.5" customHeight="1">
      <c r="A86" s="74"/>
      <c r="B86" s="75"/>
      <c r="C86" s="75"/>
      <c r="D86" s="76" t="s">
        <v>130</v>
      </c>
      <c r="E86" s="69"/>
      <c r="F86" s="77">
        <f>13</f>
        <v>13</v>
      </c>
      <c r="G86" s="78"/>
      <c r="H86" s="78"/>
      <c r="I86" s="79"/>
      <c r="J86" s="208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/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  <c r="BI86" s="207"/>
      <c r="BJ86" s="207"/>
      <c r="BK86" s="207"/>
      <c r="BL86" s="207"/>
      <c r="BM86" s="207"/>
    </row>
    <row r="87" spans="1:256" s="12" customFormat="1" ht="13.5" customHeight="1">
      <c r="A87" s="67">
        <v>15</v>
      </c>
      <c r="B87" s="68" t="s">
        <v>29</v>
      </c>
      <c r="C87" s="69">
        <v>612135090</v>
      </c>
      <c r="D87" s="69" t="s">
        <v>131</v>
      </c>
      <c r="E87" s="69" t="s">
        <v>30</v>
      </c>
      <c r="F87" s="100">
        <f>SUM(F89:F94)</f>
        <v>328.20000000000005</v>
      </c>
      <c r="G87" s="71"/>
      <c r="H87" s="71">
        <f>F87*G87</f>
        <v>0</v>
      </c>
      <c r="I87" s="101" t="s">
        <v>31</v>
      </c>
      <c r="J87" s="380"/>
      <c r="K87" s="297"/>
      <c r="L87" s="298"/>
      <c r="M87" s="299"/>
      <c r="N87" s="300"/>
      <c r="O87" s="207"/>
      <c r="P87" s="303"/>
      <c r="Q87" s="207"/>
      <c r="R87" s="302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/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  <c r="BI87" s="207"/>
      <c r="BJ87" s="207"/>
      <c r="BK87" s="207"/>
      <c r="BL87" s="207"/>
      <c r="BM87" s="207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</row>
    <row r="88" spans="1:256" s="12" customFormat="1" ht="27" customHeight="1">
      <c r="A88" s="67"/>
      <c r="B88" s="68"/>
      <c r="C88" s="69"/>
      <c r="D88" s="76" t="s">
        <v>132</v>
      </c>
      <c r="E88" s="69"/>
      <c r="F88" s="100"/>
      <c r="G88" s="71"/>
      <c r="H88" s="71"/>
      <c r="I88" s="101"/>
      <c r="J88" s="380"/>
      <c r="K88" s="297"/>
      <c r="L88" s="298"/>
      <c r="M88" s="299"/>
      <c r="N88" s="300"/>
      <c r="O88" s="207"/>
      <c r="P88" s="301"/>
      <c r="Q88" s="207"/>
      <c r="R88" s="303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  <c r="BI88" s="207"/>
      <c r="BJ88" s="207"/>
      <c r="BK88" s="207"/>
      <c r="BL88" s="207"/>
      <c r="BM88" s="207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</row>
    <row r="89" spans="1:256" s="12" customFormat="1" ht="27" customHeight="1">
      <c r="A89" s="67"/>
      <c r="B89" s="69"/>
      <c r="C89" s="69"/>
      <c r="D89" s="76" t="s">
        <v>133</v>
      </c>
      <c r="E89" s="69"/>
      <c r="F89" s="77">
        <f>35.5</f>
        <v>35.5</v>
      </c>
      <c r="G89" s="71"/>
      <c r="H89" s="71"/>
      <c r="I89" s="101"/>
      <c r="J89" s="380"/>
      <c r="K89" s="207"/>
      <c r="L89" s="207"/>
      <c r="M89" s="207"/>
      <c r="N89" s="303"/>
      <c r="O89" s="207"/>
      <c r="P89" s="301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  <c r="BI89" s="207"/>
      <c r="BJ89" s="207"/>
      <c r="BK89" s="207"/>
      <c r="BL89" s="207"/>
      <c r="BM89" s="207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</row>
    <row r="90" spans="1:256" s="12" customFormat="1" ht="27" customHeight="1">
      <c r="A90" s="67"/>
      <c r="B90" s="69"/>
      <c r="C90" s="69"/>
      <c r="D90" s="76" t="s">
        <v>134</v>
      </c>
      <c r="E90" s="69"/>
      <c r="F90" s="77">
        <f>82.8</f>
        <v>82.8</v>
      </c>
      <c r="G90" s="71"/>
      <c r="H90" s="71"/>
      <c r="I90" s="101"/>
      <c r="J90" s="380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/>
      <c r="AF90" s="207"/>
      <c r="AG90" s="207"/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  <c r="BI90" s="207"/>
      <c r="BJ90" s="207"/>
      <c r="BK90" s="207"/>
      <c r="BL90" s="207"/>
      <c r="BM90" s="207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</row>
    <row r="91" spans="1:256" s="73" customFormat="1" ht="27" customHeight="1">
      <c r="A91" s="74"/>
      <c r="B91" s="75"/>
      <c r="C91" s="75"/>
      <c r="D91" s="76" t="s">
        <v>135</v>
      </c>
      <c r="E91" s="69"/>
      <c r="F91" s="77">
        <f>81</f>
        <v>81</v>
      </c>
      <c r="G91" s="78"/>
      <c r="H91" s="78"/>
      <c r="I91" s="79"/>
      <c r="J91" s="208"/>
      <c r="K91" s="207"/>
      <c r="L91" s="207"/>
      <c r="M91" s="207"/>
      <c r="N91" s="207"/>
      <c r="O91" s="207"/>
      <c r="P91" s="207"/>
      <c r="Q91" s="303"/>
      <c r="R91" s="303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  <c r="BI91" s="207"/>
      <c r="BJ91" s="207"/>
      <c r="BK91" s="207"/>
      <c r="BL91" s="207"/>
      <c r="BM91" s="207"/>
    </row>
    <row r="92" spans="1:256" s="12" customFormat="1" ht="27" customHeight="1">
      <c r="A92" s="67"/>
      <c r="B92" s="69"/>
      <c r="C92" s="69"/>
      <c r="D92" s="76" t="s">
        <v>136</v>
      </c>
      <c r="E92" s="69"/>
      <c r="F92" s="77">
        <f>80.9</f>
        <v>80.900000000000006</v>
      </c>
      <c r="G92" s="71"/>
      <c r="H92" s="71"/>
      <c r="I92" s="101"/>
      <c r="J92" s="381"/>
      <c r="K92" s="207"/>
      <c r="L92" s="207"/>
      <c r="M92" s="207"/>
      <c r="N92" s="207"/>
      <c r="O92" s="207"/>
      <c r="P92" s="301"/>
      <c r="Q92" s="207"/>
      <c r="R92" s="207"/>
      <c r="S92" s="303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  <c r="BI92" s="207"/>
      <c r="BJ92" s="207"/>
      <c r="BK92" s="207"/>
      <c r="BL92" s="207"/>
      <c r="BM92" s="207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</row>
    <row r="93" spans="1:256" s="12" customFormat="1" ht="27" customHeight="1">
      <c r="A93" s="67"/>
      <c r="B93" s="69"/>
      <c r="C93" s="69"/>
      <c r="D93" s="76" t="s">
        <v>137</v>
      </c>
      <c r="E93" s="69"/>
      <c r="F93" s="77">
        <f>35</f>
        <v>35</v>
      </c>
      <c r="G93" s="71"/>
      <c r="H93" s="71"/>
      <c r="I93" s="101"/>
      <c r="J93" s="381"/>
      <c r="K93" s="207"/>
      <c r="L93" s="207"/>
      <c r="M93" s="207"/>
      <c r="N93" s="207"/>
      <c r="O93" s="207"/>
      <c r="P93" s="207"/>
      <c r="Q93" s="207"/>
      <c r="R93" s="303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  <c r="BI93" s="207"/>
      <c r="BJ93" s="207"/>
      <c r="BK93" s="207"/>
      <c r="BL93" s="207"/>
      <c r="BM93" s="207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</row>
    <row r="94" spans="1:256" s="73" customFormat="1" ht="27" customHeight="1">
      <c r="A94" s="74"/>
      <c r="B94" s="75"/>
      <c r="C94" s="75"/>
      <c r="D94" s="76" t="s">
        <v>138</v>
      </c>
      <c r="E94" s="69"/>
      <c r="F94" s="77">
        <f>13</f>
        <v>13</v>
      </c>
      <c r="G94" s="78"/>
      <c r="H94" s="78"/>
      <c r="I94" s="79"/>
      <c r="J94" s="208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  <c r="BI94" s="207"/>
      <c r="BJ94" s="207"/>
      <c r="BK94" s="207"/>
      <c r="BL94" s="207"/>
      <c r="BM94" s="207"/>
    </row>
    <row r="95" spans="1:256" s="115" customFormat="1" ht="13.5" customHeight="1">
      <c r="A95" s="67">
        <v>16</v>
      </c>
      <c r="B95" s="68" t="s">
        <v>105</v>
      </c>
      <c r="C95" s="69">
        <v>612135101</v>
      </c>
      <c r="D95" s="69" t="s">
        <v>139</v>
      </c>
      <c r="E95" s="69" t="s">
        <v>30</v>
      </c>
      <c r="F95" s="100">
        <f>SUM(F96:F103)</f>
        <v>51.8765</v>
      </c>
      <c r="G95" s="71"/>
      <c r="H95" s="71">
        <f>F95*G95</f>
        <v>0</v>
      </c>
      <c r="I95" s="101" t="s">
        <v>31</v>
      </c>
      <c r="J95" s="213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  <c r="BI95" s="207"/>
      <c r="BJ95" s="207"/>
      <c r="BK95" s="207"/>
      <c r="BL95" s="207"/>
      <c r="BM95" s="207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  <c r="IU95" s="8"/>
      <c r="IV95" s="8"/>
    </row>
    <row r="96" spans="1:256" s="246" customFormat="1" ht="27" customHeight="1">
      <c r="A96" s="67"/>
      <c r="B96" s="68"/>
      <c r="C96" s="69"/>
      <c r="D96" s="76" t="s">
        <v>140</v>
      </c>
      <c r="E96" s="69"/>
      <c r="F96" s="77">
        <f>0.07*14.9</f>
        <v>1.0430000000000001</v>
      </c>
      <c r="G96" s="71"/>
      <c r="H96" s="71"/>
      <c r="I96" s="79"/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7"/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  <c r="BI96" s="207"/>
      <c r="BJ96" s="207"/>
      <c r="BK96" s="207"/>
      <c r="BL96" s="207"/>
      <c r="BM96" s="207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  <c r="IU96" s="8"/>
      <c r="IV96" s="8"/>
    </row>
    <row r="97" spans="1:256" s="246" customFormat="1" ht="27" customHeight="1">
      <c r="A97" s="67"/>
      <c r="B97" s="68"/>
      <c r="C97" s="69"/>
      <c r="D97" s="76" t="s">
        <v>141</v>
      </c>
      <c r="E97" s="69"/>
      <c r="F97" s="77">
        <f>0.15*13.8</f>
        <v>2.0699999999999998</v>
      </c>
      <c r="G97" s="71"/>
      <c r="H97" s="71"/>
      <c r="I97" s="79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  <c r="BI97" s="207"/>
      <c r="BJ97" s="207"/>
      <c r="BK97" s="207"/>
      <c r="BL97" s="207"/>
      <c r="BM97" s="207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  <c r="IU97" s="8"/>
      <c r="IV97" s="8"/>
    </row>
    <row r="98" spans="1:256" s="246" customFormat="1" ht="27" customHeight="1">
      <c r="A98" s="67"/>
      <c r="B98" s="68"/>
      <c r="C98" s="69"/>
      <c r="D98" s="76" t="s">
        <v>142</v>
      </c>
      <c r="E98" s="69"/>
      <c r="F98" s="77">
        <f>0.2*10.8</f>
        <v>2.16</v>
      </c>
      <c r="G98" s="71"/>
      <c r="H98" s="71"/>
      <c r="I98" s="79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7"/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  <c r="BI98" s="207"/>
      <c r="BJ98" s="207"/>
      <c r="BK98" s="207"/>
      <c r="BL98" s="207"/>
      <c r="BM98" s="207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  <c r="IU98" s="8"/>
      <c r="IV98" s="8"/>
    </row>
    <row r="99" spans="1:256" s="246" customFormat="1" ht="27" customHeight="1">
      <c r="A99" s="67"/>
      <c r="B99" s="68"/>
      <c r="C99" s="69"/>
      <c r="D99" s="76" t="s">
        <v>143</v>
      </c>
      <c r="E99" s="69"/>
      <c r="F99" s="77">
        <f>0.07*0.8</f>
        <v>5.6000000000000008E-2</v>
      </c>
      <c r="G99" s="71"/>
      <c r="H99" s="71"/>
      <c r="I99" s="79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  <c r="BI99" s="207"/>
      <c r="BJ99" s="207"/>
      <c r="BK99" s="207"/>
      <c r="BL99" s="207"/>
      <c r="BM99" s="207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  <c r="IU99" s="8"/>
      <c r="IV99" s="8"/>
    </row>
    <row r="100" spans="1:256" s="246" customFormat="1" ht="27" customHeight="1">
      <c r="A100" s="67"/>
      <c r="B100" s="68"/>
      <c r="C100" s="69"/>
      <c r="D100" s="76" t="s">
        <v>144</v>
      </c>
      <c r="E100" s="69"/>
      <c r="F100" s="77">
        <f>0.15*23.9</f>
        <v>3.5849999999999995</v>
      </c>
      <c r="G100" s="71"/>
      <c r="H100" s="71"/>
      <c r="I100" s="79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/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  <c r="BI100" s="207"/>
      <c r="BJ100" s="207"/>
      <c r="BK100" s="207"/>
      <c r="BL100" s="207"/>
      <c r="BM100" s="207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  <c r="IU100" s="8"/>
      <c r="IV100" s="8"/>
    </row>
    <row r="101" spans="1:256" s="115" customFormat="1" ht="27" customHeight="1">
      <c r="A101" s="67"/>
      <c r="B101" s="68"/>
      <c r="C101" s="69"/>
      <c r="D101" s="76" t="s">
        <v>145</v>
      </c>
      <c r="E101" s="69"/>
      <c r="F101" s="77">
        <f>(0.4*20.25)*4</f>
        <v>32.4</v>
      </c>
      <c r="G101" s="71"/>
      <c r="H101" s="71"/>
      <c r="I101" s="79"/>
      <c r="J101" s="120"/>
      <c r="K101" s="212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/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  <c r="BI101" s="207"/>
      <c r="BJ101" s="207"/>
      <c r="BK101" s="207"/>
      <c r="BL101" s="207"/>
      <c r="BM101" s="207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  <c r="IU101" s="8"/>
      <c r="IV101" s="8"/>
    </row>
    <row r="102" spans="1:256" s="115" customFormat="1" ht="27" customHeight="1">
      <c r="A102" s="67"/>
      <c r="B102" s="68"/>
      <c r="C102" s="69"/>
      <c r="D102" s="76" t="s">
        <v>146</v>
      </c>
      <c r="E102" s="69"/>
      <c r="F102" s="77">
        <f>0.2*28.75</f>
        <v>5.75</v>
      </c>
      <c r="G102" s="71"/>
      <c r="H102" s="71"/>
      <c r="I102" s="79"/>
      <c r="J102" s="120"/>
      <c r="K102" s="212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  <c r="BI102" s="207"/>
      <c r="BJ102" s="207"/>
      <c r="BK102" s="207"/>
      <c r="BL102" s="207"/>
      <c r="BM102" s="207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</row>
    <row r="103" spans="1:256" s="115" customFormat="1" ht="27" customHeight="1">
      <c r="A103" s="67"/>
      <c r="B103" s="68"/>
      <c r="C103" s="69"/>
      <c r="D103" s="76" t="s">
        <v>147</v>
      </c>
      <c r="E103" s="69"/>
      <c r="F103" s="77">
        <f>0.07*68.75</f>
        <v>4.8125000000000009</v>
      </c>
      <c r="G103" s="71"/>
      <c r="H103" s="71"/>
      <c r="I103" s="79"/>
      <c r="J103" s="120"/>
      <c r="K103" s="212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  <c r="BI103" s="207"/>
      <c r="BJ103" s="207"/>
      <c r="BK103" s="207"/>
      <c r="BL103" s="207"/>
      <c r="BM103" s="207"/>
      <c r="BN103" s="73"/>
      <c r="BO103" s="73"/>
      <c r="BP103" s="73"/>
      <c r="BQ103" s="73"/>
      <c r="BR103" s="73"/>
      <c r="BS103" s="73"/>
      <c r="BT103" s="73"/>
      <c r="BU103" s="73"/>
      <c r="BV103" s="73"/>
      <c r="BW103" s="73"/>
      <c r="BX103" s="73"/>
      <c r="BY103" s="73"/>
      <c r="BZ103" s="73"/>
      <c r="CA103" s="73"/>
      <c r="CB103" s="73"/>
      <c r="CC103" s="73"/>
      <c r="CD103" s="73"/>
      <c r="CE103" s="73"/>
      <c r="CF103" s="73"/>
      <c r="CG103" s="73"/>
      <c r="CH103" s="73"/>
      <c r="CI103" s="73"/>
      <c r="CJ103" s="73"/>
      <c r="CK103" s="73"/>
      <c r="CL103" s="73"/>
      <c r="CM103" s="73"/>
      <c r="CN103" s="73"/>
      <c r="CO103" s="73"/>
      <c r="CP103" s="73"/>
      <c r="CQ103" s="73"/>
      <c r="CR103" s="73"/>
      <c r="CS103" s="73"/>
      <c r="CT103" s="73"/>
      <c r="CU103" s="73"/>
      <c r="CV103" s="73"/>
      <c r="CW103" s="73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  <c r="IU103" s="8"/>
      <c r="IV103" s="8"/>
    </row>
    <row r="104" spans="1:256" s="12" customFormat="1" ht="13.5" customHeight="1">
      <c r="A104" s="67">
        <v>17</v>
      </c>
      <c r="B104" s="68" t="s">
        <v>29</v>
      </c>
      <c r="C104" s="69">
        <v>612142001</v>
      </c>
      <c r="D104" s="69" t="s">
        <v>148</v>
      </c>
      <c r="E104" s="69" t="s">
        <v>30</v>
      </c>
      <c r="F104" s="100">
        <f>SUM(F105)</f>
        <v>5.3687500000000004</v>
      </c>
      <c r="G104" s="71"/>
      <c r="H104" s="71">
        <f>F104*G104</f>
        <v>0</v>
      </c>
      <c r="I104" s="101" t="s">
        <v>31</v>
      </c>
      <c r="J104" s="343"/>
      <c r="K104" s="310"/>
      <c r="L104" s="298"/>
      <c r="M104" s="299"/>
      <c r="N104" s="300"/>
      <c r="O104" s="311"/>
      <c r="P104" s="207"/>
      <c r="Q104" s="207"/>
      <c r="R104" s="302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  <c r="BI104" s="207"/>
      <c r="BJ104" s="207"/>
      <c r="BK104" s="207"/>
      <c r="BL104" s="207"/>
      <c r="BM104" s="207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</row>
    <row r="105" spans="1:256" s="12" customFormat="1" ht="27" customHeight="1">
      <c r="A105" s="67"/>
      <c r="B105" s="69"/>
      <c r="C105" s="69"/>
      <c r="D105" s="76" t="s">
        <v>410</v>
      </c>
      <c r="E105" s="69"/>
      <c r="F105" s="77">
        <f>(0.1*2.02*2+0.15*2.02*2+0.45*3.65*2)*1.25</f>
        <v>5.3687500000000004</v>
      </c>
      <c r="G105" s="71"/>
      <c r="H105" s="71"/>
      <c r="I105" s="403"/>
      <c r="J105" s="402"/>
      <c r="K105" s="207"/>
      <c r="L105" s="207"/>
      <c r="M105" s="207"/>
      <c r="N105" s="207"/>
      <c r="O105" s="207"/>
      <c r="P105" s="207"/>
      <c r="Q105" s="213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  <c r="BI105" s="207"/>
      <c r="BJ105" s="207"/>
      <c r="BK105" s="207"/>
      <c r="BL105" s="207"/>
      <c r="BM105" s="207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</row>
    <row r="106" spans="1:256" s="8" customFormat="1" ht="13.5" customHeight="1">
      <c r="A106" s="67">
        <v>18</v>
      </c>
      <c r="B106" s="68" t="s">
        <v>29</v>
      </c>
      <c r="C106" s="69">
        <v>612311131</v>
      </c>
      <c r="D106" s="69" t="s">
        <v>65</v>
      </c>
      <c r="E106" s="69" t="s">
        <v>30</v>
      </c>
      <c r="F106" s="70">
        <f>SUM(F108)</f>
        <v>251.63</v>
      </c>
      <c r="G106" s="71"/>
      <c r="H106" s="71">
        <f>F106*G106</f>
        <v>0</v>
      </c>
      <c r="I106" s="101" t="s">
        <v>31</v>
      </c>
      <c r="J106" s="210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  <c r="BI106" s="207"/>
      <c r="BJ106" s="207"/>
      <c r="BK106" s="207"/>
      <c r="BL106" s="207"/>
      <c r="BM106" s="207"/>
      <c r="BN106" s="73"/>
      <c r="BO106" s="73"/>
      <c r="BP106" s="73"/>
      <c r="BQ106" s="73"/>
      <c r="BR106" s="73"/>
      <c r="BS106" s="73"/>
      <c r="BT106" s="73"/>
      <c r="BU106" s="73"/>
      <c r="BV106" s="73"/>
      <c r="BW106" s="73"/>
      <c r="BX106" s="73"/>
      <c r="BY106" s="73"/>
      <c r="BZ106" s="73"/>
      <c r="CA106" s="73"/>
      <c r="CB106" s="73"/>
      <c r="CC106" s="73"/>
      <c r="CD106" s="73"/>
      <c r="CE106" s="73"/>
      <c r="CF106" s="73"/>
      <c r="CG106" s="73"/>
      <c r="CH106" s="73"/>
      <c r="CI106" s="73"/>
      <c r="CJ106" s="73"/>
      <c r="CK106" s="73"/>
      <c r="CL106" s="73"/>
      <c r="CM106" s="73"/>
      <c r="CN106" s="73"/>
      <c r="CO106" s="73"/>
      <c r="CP106" s="73"/>
      <c r="CQ106" s="73"/>
      <c r="CR106" s="73"/>
      <c r="CS106" s="73"/>
      <c r="CT106" s="73"/>
      <c r="CU106" s="73"/>
      <c r="CV106" s="73"/>
      <c r="CW106" s="73"/>
    </row>
    <row r="107" spans="1:256" s="8" customFormat="1" ht="13.5" customHeight="1">
      <c r="A107" s="74"/>
      <c r="B107" s="75"/>
      <c r="C107" s="75"/>
      <c r="D107" s="76" t="s">
        <v>149</v>
      </c>
      <c r="E107" s="75"/>
      <c r="F107" s="77"/>
      <c r="G107" s="78"/>
      <c r="H107" s="78"/>
      <c r="I107" s="110"/>
      <c r="J107" s="210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  <c r="BI107" s="207"/>
      <c r="BJ107" s="207"/>
      <c r="BK107" s="207"/>
      <c r="BL107" s="207"/>
      <c r="BM107" s="207"/>
      <c r="BN107" s="73"/>
      <c r="BO107" s="73"/>
      <c r="BP107" s="73"/>
      <c r="BQ107" s="73"/>
      <c r="BR107" s="73"/>
      <c r="BS107" s="73"/>
      <c r="BT107" s="73"/>
      <c r="BU107" s="73"/>
      <c r="BV107" s="73"/>
      <c r="BW107" s="73"/>
      <c r="BX107" s="73"/>
      <c r="BY107" s="73"/>
      <c r="BZ107" s="73"/>
      <c r="CA107" s="73"/>
      <c r="CB107" s="73"/>
      <c r="CC107" s="73"/>
      <c r="CD107" s="73"/>
      <c r="CE107" s="73"/>
      <c r="CF107" s="73"/>
      <c r="CG107" s="73"/>
      <c r="CH107" s="73"/>
      <c r="CI107" s="73"/>
      <c r="CJ107" s="73"/>
      <c r="CK107" s="73"/>
      <c r="CL107" s="73"/>
      <c r="CM107" s="73"/>
      <c r="CN107" s="73"/>
      <c r="CO107" s="73"/>
      <c r="CP107" s="73"/>
      <c r="CQ107" s="73"/>
      <c r="CR107" s="73"/>
      <c r="CS107" s="73"/>
      <c r="CT107" s="73"/>
      <c r="CU107" s="73"/>
      <c r="CV107" s="73"/>
      <c r="CW107" s="73"/>
    </row>
    <row r="108" spans="1:256" s="8" customFormat="1" ht="13.5" customHeight="1">
      <c r="A108" s="233"/>
      <c r="B108" s="63"/>
      <c r="C108" s="63"/>
      <c r="D108" s="76" t="s">
        <v>150</v>
      </c>
      <c r="E108" s="69"/>
      <c r="F108" s="77">
        <f>15.98+68.31+66.83+66.75+28.88+4.88</f>
        <v>251.63</v>
      </c>
      <c r="G108" s="65"/>
      <c r="H108" s="65"/>
      <c r="I108" s="251"/>
      <c r="J108" s="212"/>
      <c r="K108" s="207"/>
      <c r="L108" s="207"/>
      <c r="M108" s="207"/>
      <c r="N108" s="38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  <c r="BI108" s="207"/>
      <c r="BJ108" s="207"/>
      <c r="BK108" s="207"/>
      <c r="BL108" s="207"/>
      <c r="BM108" s="207"/>
      <c r="BN108" s="73"/>
      <c r="BO108" s="73"/>
      <c r="BP108" s="73"/>
      <c r="BQ108" s="73"/>
      <c r="BR108" s="73"/>
      <c r="BS108" s="73"/>
      <c r="BT108" s="73"/>
      <c r="BU108" s="73"/>
      <c r="BV108" s="73"/>
      <c r="BW108" s="73"/>
      <c r="BX108" s="73"/>
      <c r="BY108" s="73"/>
      <c r="BZ108" s="73"/>
      <c r="CA108" s="73"/>
      <c r="CB108" s="73"/>
      <c r="CC108" s="73"/>
      <c r="CD108" s="73"/>
      <c r="CE108" s="73"/>
      <c r="CF108" s="73"/>
      <c r="CG108" s="73"/>
      <c r="CH108" s="73"/>
      <c r="CI108" s="73"/>
      <c r="CJ108" s="73"/>
      <c r="CK108" s="73"/>
      <c r="CL108" s="73"/>
      <c r="CM108" s="73"/>
      <c r="CN108" s="73"/>
      <c r="CO108" s="73"/>
      <c r="CP108" s="73"/>
      <c r="CQ108" s="73"/>
      <c r="CR108" s="73"/>
      <c r="CS108" s="73"/>
      <c r="CT108" s="73"/>
      <c r="CU108" s="73"/>
      <c r="CV108" s="73"/>
      <c r="CW108" s="73"/>
    </row>
    <row r="109" spans="1:256" s="8" customFormat="1" ht="13.5" customHeight="1">
      <c r="A109" s="67">
        <v>19</v>
      </c>
      <c r="B109" s="68" t="s">
        <v>105</v>
      </c>
      <c r="C109" s="69">
        <v>612315212</v>
      </c>
      <c r="D109" s="69" t="s">
        <v>151</v>
      </c>
      <c r="E109" s="69" t="s">
        <v>40</v>
      </c>
      <c r="F109" s="70">
        <f>SUM(F111)</f>
        <v>2</v>
      </c>
      <c r="G109" s="71"/>
      <c r="H109" s="71">
        <f>F109*G109</f>
        <v>0</v>
      </c>
      <c r="I109" s="101" t="s">
        <v>31</v>
      </c>
      <c r="J109" s="220"/>
      <c r="K109" s="221"/>
      <c r="L109" s="221"/>
      <c r="M109" s="221"/>
      <c r="N109" s="207"/>
      <c r="O109" s="207"/>
      <c r="P109" s="207"/>
      <c r="Q109" s="221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  <c r="BI109" s="207"/>
      <c r="BJ109" s="207"/>
      <c r="BK109" s="207"/>
      <c r="BL109" s="207"/>
      <c r="BM109" s="207"/>
      <c r="BN109" s="73"/>
      <c r="BO109" s="73"/>
      <c r="BP109" s="73"/>
      <c r="BQ109" s="73"/>
      <c r="BR109" s="73"/>
      <c r="BS109" s="73"/>
      <c r="BT109" s="73"/>
      <c r="BU109" s="73"/>
      <c r="BV109" s="73"/>
      <c r="BW109" s="73"/>
      <c r="BX109" s="73"/>
      <c r="BY109" s="73"/>
      <c r="BZ109" s="73"/>
      <c r="CA109" s="73"/>
      <c r="CB109" s="73"/>
      <c r="CC109" s="73"/>
      <c r="CD109" s="73"/>
      <c r="CE109" s="73"/>
      <c r="CF109" s="73"/>
      <c r="CG109" s="73"/>
      <c r="CH109" s="73"/>
      <c r="CI109" s="73"/>
      <c r="CJ109" s="73"/>
      <c r="CK109" s="73"/>
      <c r="CL109" s="73"/>
      <c r="CM109" s="73"/>
      <c r="CN109" s="73"/>
      <c r="CO109" s="73"/>
      <c r="CP109" s="73"/>
      <c r="CQ109" s="73"/>
      <c r="CR109" s="73"/>
      <c r="CS109" s="73"/>
      <c r="CT109" s="73"/>
      <c r="CU109" s="73"/>
      <c r="CV109" s="73"/>
      <c r="CW109" s="73"/>
    </row>
    <row r="110" spans="1:256" s="8" customFormat="1" ht="13.5" customHeight="1">
      <c r="A110" s="74"/>
      <c r="B110" s="75"/>
      <c r="C110" s="75"/>
      <c r="D110" s="111" t="s">
        <v>152</v>
      </c>
      <c r="E110" s="75"/>
      <c r="F110" s="77"/>
      <c r="G110" s="78"/>
      <c r="H110" s="78"/>
      <c r="I110" s="110"/>
      <c r="J110" s="305"/>
      <c r="K110" s="207"/>
      <c r="L110" s="207"/>
      <c r="M110" s="207"/>
      <c r="N110" s="38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  <c r="BI110" s="207"/>
      <c r="BJ110" s="207"/>
      <c r="BK110" s="207"/>
      <c r="BL110" s="207"/>
      <c r="BM110" s="207"/>
      <c r="BN110" s="73"/>
      <c r="BO110" s="73"/>
      <c r="BP110" s="73"/>
      <c r="BQ110" s="73"/>
      <c r="BR110" s="73"/>
      <c r="BS110" s="73"/>
      <c r="BT110" s="73"/>
      <c r="BU110" s="73"/>
      <c r="BV110" s="73"/>
      <c r="BW110" s="73"/>
      <c r="BX110" s="73"/>
      <c r="BY110" s="73"/>
      <c r="BZ110" s="73"/>
      <c r="CA110" s="73"/>
      <c r="CB110" s="73"/>
      <c r="CC110" s="73"/>
      <c r="CD110" s="73"/>
      <c r="CE110" s="73"/>
      <c r="CF110" s="73"/>
      <c r="CG110" s="73"/>
      <c r="CH110" s="73"/>
      <c r="CI110" s="73"/>
      <c r="CJ110" s="73"/>
      <c r="CK110" s="73"/>
      <c r="CL110" s="73"/>
      <c r="CM110" s="73"/>
      <c r="CN110" s="73"/>
      <c r="CO110" s="73"/>
      <c r="CP110" s="73"/>
      <c r="CQ110" s="73"/>
      <c r="CR110" s="73"/>
      <c r="CS110" s="73"/>
      <c r="CT110" s="73"/>
      <c r="CU110" s="73"/>
      <c r="CV110" s="73"/>
      <c r="CW110" s="73"/>
    </row>
    <row r="111" spans="1:256" s="8" customFormat="1" ht="13.5" customHeight="1">
      <c r="A111" s="233"/>
      <c r="B111" s="63"/>
      <c r="C111" s="63"/>
      <c r="D111" s="76" t="s">
        <v>153</v>
      </c>
      <c r="E111" s="69"/>
      <c r="F111" s="77">
        <f>(1)*2</f>
        <v>2</v>
      </c>
      <c r="G111" s="65"/>
      <c r="H111" s="65"/>
      <c r="I111" s="251"/>
      <c r="J111" s="207"/>
      <c r="K111" s="207"/>
      <c r="L111" s="207"/>
      <c r="M111" s="207"/>
      <c r="N111" s="38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  <c r="BI111" s="207"/>
      <c r="BJ111" s="207"/>
      <c r="BK111" s="207"/>
      <c r="BL111" s="207"/>
      <c r="BM111" s="207"/>
      <c r="BN111" s="73"/>
      <c r="BO111" s="73"/>
      <c r="BP111" s="73"/>
      <c r="BQ111" s="73"/>
      <c r="BR111" s="73"/>
      <c r="BS111" s="73"/>
      <c r="BT111" s="73"/>
      <c r="BU111" s="73"/>
      <c r="BV111" s="73"/>
      <c r="BW111" s="73"/>
      <c r="BX111" s="73"/>
      <c r="BY111" s="73"/>
      <c r="BZ111" s="73"/>
      <c r="CA111" s="73"/>
      <c r="CB111" s="73"/>
      <c r="CC111" s="73"/>
      <c r="CD111" s="73"/>
      <c r="CE111" s="73"/>
      <c r="CF111" s="73"/>
      <c r="CG111" s="73"/>
      <c r="CH111" s="73"/>
      <c r="CI111" s="73"/>
      <c r="CJ111" s="73"/>
      <c r="CK111" s="73"/>
      <c r="CL111" s="73"/>
      <c r="CM111" s="73"/>
      <c r="CN111" s="73"/>
      <c r="CO111" s="73"/>
      <c r="CP111" s="73"/>
      <c r="CQ111" s="73"/>
      <c r="CR111" s="73"/>
      <c r="CS111" s="73"/>
      <c r="CT111" s="73"/>
      <c r="CU111" s="73"/>
      <c r="CV111" s="73"/>
      <c r="CW111" s="73"/>
    </row>
    <row r="112" spans="1:256" s="8" customFormat="1" ht="13.5" customHeight="1">
      <c r="A112" s="67">
        <v>20</v>
      </c>
      <c r="B112" s="68" t="s">
        <v>105</v>
      </c>
      <c r="C112" s="69">
        <v>612315213</v>
      </c>
      <c r="D112" s="69" t="s">
        <v>154</v>
      </c>
      <c r="E112" s="69" t="s">
        <v>40</v>
      </c>
      <c r="F112" s="70">
        <f>SUM(F114)</f>
        <v>2</v>
      </c>
      <c r="G112" s="71"/>
      <c r="H112" s="71">
        <f>F112*G112</f>
        <v>0</v>
      </c>
      <c r="I112" s="101" t="s">
        <v>31</v>
      </c>
      <c r="J112" s="220"/>
      <c r="K112" s="221"/>
      <c r="L112" s="221"/>
      <c r="M112" s="221"/>
      <c r="N112" s="207"/>
      <c r="O112" s="207"/>
      <c r="P112" s="207"/>
      <c r="Q112" s="221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  <c r="BI112" s="207"/>
      <c r="BJ112" s="207"/>
      <c r="BK112" s="207"/>
      <c r="BL112" s="207"/>
      <c r="BM112" s="207"/>
      <c r="BN112" s="73"/>
      <c r="BO112" s="73"/>
      <c r="BP112" s="73"/>
      <c r="BQ112" s="73"/>
      <c r="BR112" s="73"/>
      <c r="BS112" s="73"/>
      <c r="BT112" s="73"/>
      <c r="BU112" s="73"/>
      <c r="BV112" s="73"/>
      <c r="BW112" s="73"/>
      <c r="BX112" s="73"/>
      <c r="BY112" s="73"/>
      <c r="BZ112" s="73"/>
      <c r="CA112" s="73"/>
      <c r="CB112" s="73"/>
      <c r="CC112" s="73"/>
      <c r="CD112" s="73"/>
      <c r="CE112" s="73"/>
      <c r="CF112" s="73"/>
      <c r="CG112" s="73"/>
      <c r="CH112" s="73"/>
      <c r="CI112" s="73"/>
      <c r="CJ112" s="73"/>
      <c r="CK112" s="73"/>
      <c r="CL112" s="73"/>
      <c r="CM112" s="73"/>
      <c r="CN112" s="73"/>
      <c r="CO112" s="73"/>
      <c r="CP112" s="73"/>
      <c r="CQ112" s="73"/>
      <c r="CR112" s="73"/>
      <c r="CS112" s="73"/>
      <c r="CT112" s="73"/>
      <c r="CU112" s="73"/>
      <c r="CV112" s="73"/>
      <c r="CW112" s="73"/>
    </row>
    <row r="113" spans="1:256" s="8" customFormat="1" ht="13.5" customHeight="1">
      <c r="A113" s="74"/>
      <c r="B113" s="75"/>
      <c r="C113" s="75"/>
      <c r="D113" s="111" t="s">
        <v>152</v>
      </c>
      <c r="E113" s="75"/>
      <c r="F113" s="77"/>
      <c r="G113" s="78"/>
      <c r="H113" s="78"/>
      <c r="I113" s="110"/>
      <c r="J113" s="305"/>
      <c r="K113" s="207"/>
      <c r="L113" s="207"/>
      <c r="M113" s="207"/>
      <c r="N113" s="38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  <c r="BI113" s="207"/>
      <c r="BJ113" s="207"/>
      <c r="BK113" s="207"/>
      <c r="BL113" s="207"/>
      <c r="BM113" s="207"/>
      <c r="BN113" s="73"/>
      <c r="BO113" s="73"/>
      <c r="BP113" s="73"/>
      <c r="BQ113" s="73"/>
      <c r="BR113" s="73"/>
      <c r="BS113" s="73"/>
      <c r="BT113" s="73"/>
      <c r="BU113" s="73"/>
      <c r="BV113" s="73"/>
      <c r="BW113" s="73"/>
      <c r="BX113" s="73"/>
      <c r="BY113" s="73"/>
      <c r="BZ113" s="73"/>
      <c r="CA113" s="73"/>
      <c r="CB113" s="73"/>
      <c r="CC113" s="73"/>
      <c r="CD113" s="73"/>
      <c r="CE113" s="73"/>
      <c r="CF113" s="73"/>
      <c r="CG113" s="73"/>
      <c r="CH113" s="73"/>
      <c r="CI113" s="73"/>
      <c r="CJ113" s="73"/>
      <c r="CK113" s="73"/>
      <c r="CL113" s="73"/>
      <c r="CM113" s="73"/>
      <c r="CN113" s="73"/>
      <c r="CO113" s="73"/>
      <c r="CP113" s="73"/>
      <c r="CQ113" s="73"/>
      <c r="CR113" s="73"/>
      <c r="CS113" s="73"/>
      <c r="CT113" s="73"/>
      <c r="CU113" s="73"/>
      <c r="CV113" s="73"/>
      <c r="CW113" s="73"/>
    </row>
    <row r="114" spans="1:256" s="8" customFormat="1" ht="13.5" customHeight="1">
      <c r="A114" s="233"/>
      <c r="B114" s="63"/>
      <c r="C114" s="63"/>
      <c r="D114" s="76" t="s">
        <v>155</v>
      </c>
      <c r="E114" s="69"/>
      <c r="F114" s="77">
        <f>(1)*2</f>
        <v>2</v>
      </c>
      <c r="G114" s="65"/>
      <c r="H114" s="65"/>
      <c r="I114" s="251"/>
      <c r="J114" s="207"/>
      <c r="K114" s="207"/>
      <c r="L114" s="207"/>
      <c r="M114" s="207"/>
      <c r="N114" s="38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  <c r="BI114" s="207"/>
      <c r="BJ114" s="207"/>
      <c r="BK114" s="207"/>
      <c r="BL114" s="207"/>
      <c r="BM114" s="207"/>
      <c r="BN114" s="73"/>
      <c r="BO114" s="73"/>
      <c r="BP114" s="73"/>
      <c r="BQ114" s="73"/>
      <c r="BR114" s="73"/>
      <c r="BS114" s="73"/>
      <c r="BT114" s="73"/>
      <c r="BU114" s="73"/>
      <c r="BV114" s="73"/>
      <c r="BW114" s="73"/>
      <c r="BX114" s="73"/>
      <c r="BY114" s="73"/>
      <c r="BZ114" s="73"/>
      <c r="CA114" s="73"/>
      <c r="CB114" s="73"/>
      <c r="CC114" s="73"/>
      <c r="CD114" s="73"/>
      <c r="CE114" s="73"/>
      <c r="CF114" s="73"/>
      <c r="CG114" s="73"/>
      <c r="CH114" s="73"/>
      <c r="CI114" s="73"/>
      <c r="CJ114" s="73"/>
      <c r="CK114" s="73"/>
      <c r="CL114" s="73"/>
      <c r="CM114" s="73"/>
      <c r="CN114" s="73"/>
      <c r="CO114" s="73"/>
      <c r="CP114" s="73"/>
      <c r="CQ114" s="73"/>
      <c r="CR114" s="73"/>
      <c r="CS114" s="73"/>
      <c r="CT114" s="73"/>
      <c r="CU114" s="73"/>
      <c r="CV114" s="73"/>
      <c r="CW114" s="73"/>
    </row>
    <row r="115" spans="1:256" s="8" customFormat="1" ht="13.5" customHeight="1">
      <c r="A115" s="67">
        <v>21</v>
      </c>
      <c r="B115" s="68" t="s">
        <v>105</v>
      </c>
      <c r="C115" s="69">
        <v>612315215</v>
      </c>
      <c r="D115" s="69" t="s">
        <v>156</v>
      </c>
      <c r="E115" s="69" t="s">
        <v>40</v>
      </c>
      <c r="F115" s="70">
        <f>SUM(F117)</f>
        <v>2</v>
      </c>
      <c r="G115" s="71"/>
      <c r="H115" s="71">
        <f>F115*G115</f>
        <v>0</v>
      </c>
      <c r="I115" s="101" t="s">
        <v>31</v>
      </c>
      <c r="J115" s="220"/>
      <c r="K115" s="221"/>
      <c r="L115" s="221"/>
      <c r="M115" s="221"/>
      <c r="N115" s="207"/>
      <c r="O115" s="207"/>
      <c r="P115" s="207"/>
      <c r="Q115" s="221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  <c r="BI115" s="207"/>
      <c r="BJ115" s="207"/>
      <c r="BK115" s="207"/>
      <c r="BL115" s="207"/>
      <c r="BM115" s="207"/>
      <c r="BN115" s="73"/>
      <c r="BO115" s="73"/>
      <c r="BP115" s="73"/>
      <c r="BQ115" s="73"/>
      <c r="BR115" s="73"/>
      <c r="BS115" s="73"/>
      <c r="BT115" s="73"/>
      <c r="BU115" s="73"/>
      <c r="BV115" s="73"/>
      <c r="BW115" s="73"/>
      <c r="BX115" s="73"/>
      <c r="BY115" s="73"/>
      <c r="BZ115" s="73"/>
      <c r="CA115" s="73"/>
      <c r="CB115" s="73"/>
      <c r="CC115" s="73"/>
      <c r="CD115" s="73"/>
      <c r="CE115" s="73"/>
      <c r="CF115" s="73"/>
      <c r="CG115" s="73"/>
      <c r="CH115" s="73"/>
      <c r="CI115" s="73"/>
      <c r="CJ115" s="73"/>
      <c r="CK115" s="73"/>
      <c r="CL115" s="73"/>
      <c r="CM115" s="73"/>
      <c r="CN115" s="73"/>
      <c r="CO115" s="73"/>
      <c r="CP115" s="73"/>
      <c r="CQ115" s="73"/>
      <c r="CR115" s="73"/>
      <c r="CS115" s="73"/>
      <c r="CT115" s="73"/>
      <c r="CU115" s="73"/>
      <c r="CV115" s="73"/>
      <c r="CW115" s="73"/>
    </row>
    <row r="116" spans="1:256" s="8" customFormat="1" ht="13.5" customHeight="1">
      <c r="A116" s="74"/>
      <c r="B116" s="75"/>
      <c r="C116" s="75"/>
      <c r="D116" s="111" t="s">
        <v>152</v>
      </c>
      <c r="E116" s="75"/>
      <c r="F116" s="77"/>
      <c r="G116" s="78"/>
      <c r="H116" s="78"/>
      <c r="I116" s="110"/>
      <c r="J116" s="305"/>
      <c r="K116" s="207"/>
      <c r="L116" s="207"/>
      <c r="M116" s="207"/>
      <c r="N116" s="38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  <c r="BI116" s="207"/>
      <c r="BJ116" s="207"/>
      <c r="BK116" s="207"/>
      <c r="BL116" s="207"/>
      <c r="BM116" s="207"/>
      <c r="BN116" s="73"/>
      <c r="BO116" s="73"/>
      <c r="BP116" s="73"/>
      <c r="BQ116" s="73"/>
      <c r="BR116" s="73"/>
      <c r="BS116" s="73"/>
      <c r="BT116" s="73"/>
      <c r="BU116" s="73"/>
      <c r="BV116" s="73"/>
      <c r="BW116" s="73"/>
      <c r="BX116" s="73"/>
      <c r="BY116" s="73"/>
      <c r="BZ116" s="73"/>
      <c r="CA116" s="73"/>
      <c r="CB116" s="73"/>
      <c r="CC116" s="73"/>
      <c r="CD116" s="73"/>
      <c r="CE116" s="73"/>
      <c r="CF116" s="73"/>
      <c r="CG116" s="73"/>
      <c r="CH116" s="73"/>
      <c r="CI116" s="73"/>
      <c r="CJ116" s="73"/>
      <c r="CK116" s="73"/>
      <c r="CL116" s="73"/>
      <c r="CM116" s="73"/>
      <c r="CN116" s="73"/>
      <c r="CO116" s="73"/>
      <c r="CP116" s="73"/>
      <c r="CQ116" s="73"/>
      <c r="CR116" s="73"/>
      <c r="CS116" s="73"/>
      <c r="CT116" s="73"/>
      <c r="CU116" s="73"/>
      <c r="CV116" s="73"/>
      <c r="CW116" s="73"/>
    </row>
    <row r="117" spans="1:256" s="8" customFormat="1" ht="13.5" customHeight="1">
      <c r="A117" s="233"/>
      <c r="B117" s="63"/>
      <c r="C117" s="63"/>
      <c r="D117" s="76" t="s">
        <v>157</v>
      </c>
      <c r="E117" s="69"/>
      <c r="F117" s="77">
        <f>(2)*1</f>
        <v>2</v>
      </c>
      <c r="G117" s="65"/>
      <c r="H117" s="65"/>
      <c r="I117" s="251"/>
      <c r="J117" s="207"/>
      <c r="K117" s="207"/>
      <c r="L117" s="207"/>
      <c r="M117" s="207"/>
      <c r="N117" s="38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  <c r="BI117" s="207"/>
      <c r="BJ117" s="207"/>
      <c r="BK117" s="207"/>
      <c r="BL117" s="207"/>
      <c r="BM117" s="207"/>
      <c r="BN117" s="73"/>
      <c r="BO117" s="73"/>
      <c r="BP117" s="73"/>
      <c r="BQ117" s="73"/>
      <c r="BR117" s="73"/>
      <c r="BS117" s="73"/>
      <c r="BT117" s="73"/>
      <c r="BU117" s="73"/>
      <c r="BV117" s="73"/>
      <c r="BW117" s="73"/>
      <c r="BX117" s="73"/>
      <c r="BY117" s="73"/>
      <c r="BZ117" s="73"/>
      <c r="CA117" s="73"/>
      <c r="CB117" s="73"/>
      <c r="CC117" s="73"/>
      <c r="CD117" s="73"/>
      <c r="CE117" s="73"/>
      <c r="CF117" s="73"/>
      <c r="CG117" s="73"/>
      <c r="CH117" s="73"/>
      <c r="CI117" s="73"/>
      <c r="CJ117" s="73"/>
      <c r="CK117" s="73"/>
      <c r="CL117" s="73"/>
      <c r="CM117" s="73"/>
      <c r="CN117" s="73"/>
      <c r="CO117" s="73"/>
      <c r="CP117" s="73"/>
      <c r="CQ117" s="73"/>
      <c r="CR117" s="73"/>
      <c r="CS117" s="73"/>
      <c r="CT117" s="73"/>
      <c r="CU117" s="73"/>
      <c r="CV117" s="73"/>
      <c r="CW117" s="73"/>
    </row>
    <row r="118" spans="1:256" s="130" customFormat="1" ht="13.5" customHeight="1">
      <c r="A118" s="123" t="s">
        <v>459</v>
      </c>
      <c r="B118" s="117" t="s">
        <v>105</v>
      </c>
      <c r="C118" s="124">
        <v>612315413</v>
      </c>
      <c r="D118" s="125" t="s">
        <v>158</v>
      </c>
      <c r="E118" s="125" t="s">
        <v>30</v>
      </c>
      <c r="F118" s="126">
        <f>SUM(F121:F126)</f>
        <v>251.63</v>
      </c>
      <c r="G118" s="127"/>
      <c r="H118" s="127">
        <f>F118*G118</f>
        <v>0</v>
      </c>
      <c r="I118" s="253" t="s">
        <v>31</v>
      </c>
      <c r="J118" s="128"/>
      <c r="K118" s="382"/>
      <c r="L118" s="382"/>
      <c r="M118" s="382"/>
      <c r="N118" s="382"/>
      <c r="O118" s="382"/>
      <c r="P118" s="382"/>
      <c r="Q118" s="382"/>
      <c r="R118" s="382"/>
      <c r="S118" s="129"/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  <c r="AF118" s="129"/>
      <c r="AG118" s="129"/>
      <c r="AH118" s="129"/>
      <c r="AI118" s="129"/>
      <c r="AJ118" s="129"/>
      <c r="AK118" s="129"/>
      <c r="AL118" s="129"/>
      <c r="AM118" s="129"/>
      <c r="AN118" s="129"/>
      <c r="AO118" s="129"/>
      <c r="AP118" s="129"/>
      <c r="AQ118" s="129"/>
      <c r="AR118" s="129"/>
      <c r="AS118" s="129"/>
      <c r="AT118" s="129"/>
      <c r="AU118" s="129"/>
      <c r="AV118" s="129"/>
      <c r="AW118" s="129"/>
      <c r="AX118" s="129"/>
      <c r="AY118" s="129"/>
      <c r="AZ118" s="129"/>
      <c r="BA118" s="129"/>
      <c r="BB118" s="129"/>
      <c r="BC118" s="129"/>
      <c r="BD118" s="129"/>
      <c r="BE118" s="129"/>
      <c r="BF118" s="129"/>
      <c r="BG118" s="129"/>
      <c r="BH118" s="129"/>
      <c r="BI118" s="129"/>
      <c r="BJ118" s="129"/>
      <c r="BK118" s="129"/>
      <c r="BL118" s="129"/>
      <c r="BM118" s="129"/>
      <c r="BN118" s="129"/>
      <c r="BO118" s="129"/>
      <c r="BP118" s="129"/>
      <c r="BQ118" s="129"/>
      <c r="BR118" s="129"/>
      <c r="BS118" s="129"/>
      <c r="BT118" s="129"/>
      <c r="BU118" s="129"/>
      <c r="BV118" s="129"/>
      <c r="BW118" s="129"/>
      <c r="BX118" s="129"/>
      <c r="BY118" s="129"/>
      <c r="BZ118" s="129"/>
      <c r="CA118" s="129"/>
      <c r="CB118" s="129"/>
      <c r="CC118" s="129"/>
      <c r="CD118" s="129"/>
      <c r="CE118" s="129"/>
      <c r="CF118" s="129"/>
      <c r="CG118" s="129"/>
      <c r="CH118" s="129"/>
      <c r="CI118" s="129"/>
      <c r="CJ118" s="129"/>
      <c r="CK118" s="129"/>
      <c r="CL118" s="129"/>
      <c r="CM118" s="129"/>
      <c r="CN118" s="129"/>
      <c r="CO118" s="129"/>
      <c r="CP118" s="129"/>
      <c r="CQ118" s="129"/>
      <c r="CR118" s="129"/>
      <c r="CS118" s="129"/>
      <c r="CT118" s="129"/>
      <c r="CU118" s="129"/>
      <c r="CV118" s="129"/>
      <c r="CW118" s="129"/>
    </row>
    <row r="119" spans="1:256" s="130" customFormat="1" ht="13.5" customHeight="1">
      <c r="A119" s="123"/>
      <c r="B119" s="117"/>
      <c r="C119" s="124"/>
      <c r="D119" s="118" t="s">
        <v>159</v>
      </c>
      <c r="E119" s="125"/>
      <c r="F119" s="126"/>
      <c r="G119" s="127"/>
      <c r="H119" s="127"/>
      <c r="I119" s="253"/>
      <c r="J119" s="128"/>
      <c r="K119" s="382"/>
      <c r="L119" s="382"/>
      <c r="M119" s="382"/>
      <c r="N119" s="382"/>
      <c r="O119" s="382"/>
      <c r="P119" s="382"/>
      <c r="Q119" s="382"/>
      <c r="R119" s="382"/>
      <c r="S119" s="129"/>
      <c r="T119" s="129"/>
      <c r="U119" s="129"/>
      <c r="V119" s="129"/>
      <c r="W119" s="129"/>
      <c r="X119" s="129"/>
      <c r="Y119" s="129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29"/>
      <c r="AJ119" s="129"/>
      <c r="AK119" s="129"/>
      <c r="AL119" s="129"/>
      <c r="AM119" s="129"/>
      <c r="AN119" s="129"/>
      <c r="AO119" s="129"/>
      <c r="AP119" s="129"/>
      <c r="AQ119" s="129"/>
      <c r="AR119" s="129"/>
      <c r="AS119" s="129"/>
      <c r="AT119" s="129"/>
      <c r="AU119" s="129"/>
      <c r="AV119" s="129"/>
      <c r="AW119" s="129"/>
      <c r="AX119" s="129"/>
      <c r="AY119" s="129"/>
      <c r="AZ119" s="129"/>
      <c r="BA119" s="129"/>
      <c r="BB119" s="129"/>
      <c r="BC119" s="129"/>
      <c r="BD119" s="129"/>
      <c r="BE119" s="129"/>
      <c r="BF119" s="129"/>
      <c r="BG119" s="129"/>
      <c r="BH119" s="129"/>
      <c r="BI119" s="129"/>
      <c r="BJ119" s="129"/>
      <c r="BK119" s="129"/>
      <c r="BL119" s="129"/>
      <c r="BM119" s="129"/>
      <c r="BN119" s="129"/>
      <c r="BO119" s="129"/>
      <c r="BP119" s="129"/>
      <c r="BQ119" s="129"/>
      <c r="BR119" s="129"/>
      <c r="BS119" s="129"/>
      <c r="BT119" s="129"/>
      <c r="BU119" s="129"/>
      <c r="BV119" s="129"/>
      <c r="BW119" s="129"/>
      <c r="BX119" s="129"/>
      <c r="BY119" s="129"/>
      <c r="BZ119" s="129"/>
      <c r="CA119" s="129"/>
      <c r="CB119" s="129"/>
      <c r="CC119" s="129"/>
      <c r="CD119" s="129"/>
      <c r="CE119" s="129"/>
      <c r="CF119" s="129"/>
      <c r="CG119" s="129"/>
      <c r="CH119" s="129"/>
      <c r="CI119" s="129"/>
      <c r="CJ119" s="129"/>
      <c r="CK119" s="129"/>
      <c r="CL119" s="129"/>
      <c r="CM119" s="129"/>
      <c r="CN119" s="129"/>
      <c r="CO119" s="129"/>
      <c r="CP119" s="129"/>
      <c r="CQ119" s="129"/>
      <c r="CR119" s="129"/>
      <c r="CS119" s="129"/>
      <c r="CT119" s="129"/>
      <c r="CU119" s="129"/>
      <c r="CV119" s="129"/>
      <c r="CW119" s="129"/>
    </row>
    <row r="120" spans="1:256" s="12" customFormat="1" ht="13.5" customHeight="1">
      <c r="A120" s="61"/>
      <c r="B120" s="62"/>
      <c r="C120" s="63"/>
      <c r="D120" s="118" t="s">
        <v>160</v>
      </c>
      <c r="E120" s="63"/>
      <c r="F120" s="64"/>
      <c r="G120" s="65"/>
      <c r="H120" s="65"/>
      <c r="I120" s="66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  <c r="BI120" s="207"/>
      <c r="BJ120" s="207"/>
      <c r="BK120" s="207"/>
      <c r="BL120" s="207"/>
      <c r="BM120" s="207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</row>
    <row r="121" spans="1:256" s="130" customFormat="1" ht="13.5" customHeight="1">
      <c r="A121" s="131"/>
      <c r="B121" s="124"/>
      <c r="C121" s="124"/>
      <c r="D121" s="118" t="s">
        <v>161</v>
      </c>
      <c r="E121" s="124"/>
      <c r="F121" s="119">
        <f>15.98</f>
        <v>15.98</v>
      </c>
      <c r="G121" s="132"/>
      <c r="H121" s="132"/>
      <c r="I121" s="133"/>
      <c r="J121" s="129"/>
      <c r="K121" s="382"/>
      <c r="L121" s="382"/>
      <c r="M121" s="129"/>
      <c r="N121" s="129"/>
      <c r="O121" s="129"/>
      <c r="P121" s="129"/>
      <c r="Q121" s="129"/>
      <c r="R121" s="129"/>
      <c r="S121" s="129"/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29"/>
      <c r="AJ121" s="129"/>
      <c r="AK121" s="129"/>
      <c r="AL121" s="129"/>
      <c r="AM121" s="129"/>
      <c r="AN121" s="129"/>
      <c r="AO121" s="129"/>
      <c r="AP121" s="129"/>
      <c r="AQ121" s="129"/>
      <c r="AR121" s="129"/>
      <c r="AS121" s="129"/>
      <c r="AT121" s="129"/>
      <c r="AU121" s="129"/>
      <c r="AV121" s="129"/>
      <c r="AW121" s="129"/>
      <c r="AX121" s="129"/>
      <c r="AY121" s="129"/>
      <c r="AZ121" s="129"/>
      <c r="BA121" s="129"/>
      <c r="BB121" s="129"/>
      <c r="BC121" s="129"/>
      <c r="BD121" s="129"/>
      <c r="BE121" s="129"/>
      <c r="BF121" s="129"/>
      <c r="BG121" s="129"/>
      <c r="BH121" s="129"/>
      <c r="BI121" s="129"/>
      <c r="BJ121" s="129"/>
      <c r="BK121" s="129"/>
      <c r="BL121" s="129"/>
      <c r="BM121" s="129"/>
      <c r="BN121" s="129"/>
      <c r="BO121" s="129"/>
      <c r="BP121" s="129"/>
      <c r="BQ121" s="129"/>
      <c r="BR121" s="129"/>
      <c r="BS121" s="129"/>
      <c r="BT121" s="129"/>
      <c r="BU121" s="129"/>
      <c r="BV121" s="129"/>
      <c r="BW121" s="129"/>
      <c r="BX121" s="129"/>
      <c r="BY121" s="129"/>
      <c r="BZ121" s="129"/>
      <c r="CA121" s="129"/>
      <c r="CB121" s="129"/>
      <c r="CC121" s="129"/>
      <c r="CD121" s="129"/>
      <c r="CE121" s="129"/>
      <c r="CF121" s="129"/>
      <c r="CG121" s="129"/>
      <c r="CH121" s="129"/>
      <c r="CI121" s="129"/>
      <c r="CJ121" s="129"/>
      <c r="CK121" s="129"/>
      <c r="CL121" s="129"/>
      <c r="CM121" s="129"/>
      <c r="CN121" s="129"/>
      <c r="CO121" s="129"/>
      <c r="CP121" s="129"/>
      <c r="CQ121" s="129"/>
      <c r="CR121" s="129"/>
      <c r="CS121" s="129"/>
      <c r="CT121" s="129"/>
      <c r="CU121" s="129"/>
      <c r="CV121" s="129"/>
      <c r="CW121" s="129"/>
    </row>
    <row r="122" spans="1:256" s="12" customFormat="1" ht="13.5" customHeight="1">
      <c r="A122" s="61"/>
      <c r="B122" s="62"/>
      <c r="C122" s="63"/>
      <c r="D122" s="118" t="s">
        <v>162</v>
      </c>
      <c r="E122" s="63"/>
      <c r="F122" s="119">
        <f>68.31</f>
        <v>68.31</v>
      </c>
      <c r="G122" s="65"/>
      <c r="H122" s="65"/>
      <c r="I122" s="66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  <c r="BI122" s="207"/>
      <c r="BJ122" s="207"/>
      <c r="BK122" s="207"/>
      <c r="BL122" s="207"/>
      <c r="BM122" s="207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</row>
    <row r="123" spans="1:256" s="12" customFormat="1" ht="13.5" customHeight="1">
      <c r="A123" s="61"/>
      <c r="B123" s="62"/>
      <c r="C123" s="63"/>
      <c r="D123" s="118" t="s">
        <v>163</v>
      </c>
      <c r="E123" s="63"/>
      <c r="F123" s="119">
        <f>66.83</f>
        <v>66.83</v>
      </c>
      <c r="G123" s="65"/>
      <c r="H123" s="65"/>
      <c r="I123" s="66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  <c r="BI123" s="207"/>
      <c r="BJ123" s="207"/>
      <c r="BK123" s="207"/>
      <c r="BL123" s="207"/>
      <c r="BM123" s="207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</row>
    <row r="124" spans="1:256" s="12" customFormat="1" ht="13.5" customHeight="1">
      <c r="A124" s="61"/>
      <c r="B124" s="62"/>
      <c r="C124" s="63"/>
      <c r="D124" s="118" t="s">
        <v>164</v>
      </c>
      <c r="E124" s="63"/>
      <c r="F124" s="119">
        <f>66.75</f>
        <v>66.75</v>
      </c>
      <c r="G124" s="65"/>
      <c r="H124" s="65"/>
      <c r="I124" s="66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  <c r="BI124" s="207"/>
      <c r="BJ124" s="207"/>
      <c r="BK124" s="207"/>
      <c r="BL124" s="207"/>
      <c r="BM124" s="207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</row>
    <row r="125" spans="1:256" s="12" customFormat="1" ht="13.5" customHeight="1">
      <c r="A125" s="61"/>
      <c r="B125" s="62"/>
      <c r="C125" s="63"/>
      <c r="D125" s="118" t="s">
        <v>165</v>
      </c>
      <c r="E125" s="63"/>
      <c r="F125" s="119">
        <f>28.88</f>
        <v>28.88</v>
      </c>
      <c r="G125" s="65"/>
      <c r="H125" s="65"/>
      <c r="I125" s="66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  <c r="BI125" s="207"/>
      <c r="BJ125" s="207"/>
      <c r="BK125" s="207"/>
      <c r="BL125" s="207"/>
      <c r="BM125" s="207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</row>
    <row r="126" spans="1:256" s="12" customFormat="1" ht="13.5" customHeight="1">
      <c r="A126" s="61"/>
      <c r="B126" s="62"/>
      <c r="C126" s="63"/>
      <c r="D126" s="118" t="s">
        <v>166</v>
      </c>
      <c r="E126" s="63"/>
      <c r="F126" s="119">
        <f>4.88</f>
        <v>4.88</v>
      </c>
      <c r="G126" s="65"/>
      <c r="H126" s="65"/>
      <c r="I126" s="66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  <c r="BI126" s="207"/>
      <c r="BJ126" s="207"/>
      <c r="BK126" s="207"/>
      <c r="BL126" s="207"/>
      <c r="BM126" s="207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</row>
    <row r="127" spans="1:256" s="115" customFormat="1" ht="13.5" customHeight="1">
      <c r="A127" s="353"/>
      <c r="B127" s="354"/>
      <c r="C127" s="335"/>
      <c r="D127" s="336" t="s">
        <v>355</v>
      </c>
      <c r="E127" s="335"/>
      <c r="F127" s="341"/>
      <c r="G127" s="355"/>
      <c r="H127" s="355"/>
      <c r="I127" s="356"/>
      <c r="J127" s="120"/>
      <c r="K127" s="212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  <c r="BI127" s="207"/>
      <c r="BJ127" s="207"/>
      <c r="BK127" s="207"/>
      <c r="BL127" s="207"/>
      <c r="BM127" s="207"/>
      <c r="BN127" s="207"/>
      <c r="BO127" s="207"/>
      <c r="BP127" s="207"/>
      <c r="BQ127" s="207"/>
      <c r="BR127" s="207"/>
      <c r="BS127" s="207"/>
      <c r="BT127" s="207"/>
      <c r="BU127" s="207"/>
      <c r="BV127" s="207"/>
      <c r="BW127" s="207"/>
      <c r="BX127" s="207"/>
      <c r="BY127" s="207"/>
      <c r="BZ127" s="207"/>
      <c r="CA127" s="207"/>
      <c r="CB127" s="207"/>
      <c r="CC127" s="207"/>
      <c r="CD127" s="207"/>
      <c r="CE127" s="207"/>
      <c r="CF127" s="207"/>
      <c r="CG127" s="207"/>
      <c r="CH127" s="207"/>
      <c r="CI127" s="207"/>
      <c r="CJ127" s="207"/>
      <c r="CK127" s="207"/>
      <c r="CL127" s="207"/>
      <c r="CM127" s="207"/>
      <c r="CN127" s="207"/>
      <c r="CO127" s="207"/>
      <c r="CP127" s="207"/>
      <c r="CQ127" s="207"/>
      <c r="CR127" s="207"/>
      <c r="CS127" s="207"/>
      <c r="CT127" s="207"/>
      <c r="CU127" s="207"/>
      <c r="CV127" s="207"/>
      <c r="CW127" s="207"/>
      <c r="CX127" s="207"/>
      <c r="CY127" s="207"/>
      <c r="CZ127" s="207"/>
      <c r="DA127" s="207"/>
      <c r="DB127" s="207"/>
      <c r="DC127" s="207"/>
      <c r="DD127" s="207"/>
      <c r="DE127" s="207"/>
      <c r="DF127" s="207"/>
      <c r="DG127" s="207"/>
      <c r="DH127" s="207"/>
      <c r="DI127" s="207"/>
      <c r="DJ127" s="207"/>
      <c r="DK127" s="207"/>
      <c r="DL127" s="207"/>
      <c r="DM127" s="207"/>
      <c r="DN127" s="207"/>
      <c r="DO127" s="207"/>
      <c r="DP127" s="207"/>
      <c r="DQ127" s="207"/>
      <c r="DR127" s="207"/>
      <c r="DS127" s="207"/>
      <c r="DT127" s="207"/>
      <c r="DU127" s="207"/>
      <c r="DV127" s="207"/>
      <c r="DW127" s="207"/>
      <c r="DX127" s="207"/>
      <c r="DY127" s="207"/>
      <c r="DZ127" s="207"/>
      <c r="EA127" s="207"/>
      <c r="EB127" s="207"/>
      <c r="EC127" s="207"/>
      <c r="ED127" s="207"/>
      <c r="EE127" s="207"/>
      <c r="EF127" s="207"/>
      <c r="EG127" s="207"/>
      <c r="EH127" s="207"/>
      <c r="EI127" s="207"/>
      <c r="EJ127" s="207"/>
      <c r="EK127" s="207"/>
      <c r="EL127" s="207"/>
      <c r="EM127" s="207"/>
      <c r="EN127" s="207"/>
      <c r="EO127" s="207"/>
      <c r="EP127" s="207"/>
      <c r="EQ127" s="207"/>
      <c r="ER127" s="207"/>
      <c r="ES127" s="207"/>
      <c r="ET127" s="207"/>
      <c r="EU127" s="207"/>
      <c r="EV127" s="207"/>
      <c r="EW127" s="207"/>
      <c r="EX127" s="207"/>
      <c r="EY127" s="207"/>
      <c r="EZ127" s="207"/>
      <c r="FA127" s="207"/>
      <c r="FB127" s="207"/>
      <c r="FC127" s="207"/>
      <c r="FD127" s="207"/>
      <c r="FE127" s="207"/>
      <c r="FF127" s="207"/>
      <c r="FG127" s="207"/>
      <c r="FH127" s="207"/>
      <c r="FI127" s="207"/>
      <c r="FJ127" s="207"/>
      <c r="FK127" s="207"/>
      <c r="FL127" s="207"/>
      <c r="FM127" s="207"/>
      <c r="FN127" s="207"/>
      <c r="FO127" s="207"/>
      <c r="FP127" s="207"/>
      <c r="FQ127" s="207"/>
      <c r="FR127" s="207"/>
      <c r="FS127" s="207"/>
      <c r="FT127" s="207"/>
      <c r="FU127" s="207"/>
      <c r="FV127" s="207"/>
      <c r="FW127" s="207"/>
      <c r="FX127" s="207"/>
      <c r="FY127" s="207"/>
      <c r="FZ127" s="207"/>
      <c r="GA127" s="207"/>
      <c r="GB127" s="207"/>
      <c r="GC127" s="207"/>
      <c r="GD127" s="207"/>
      <c r="GE127" s="207"/>
      <c r="GF127" s="207"/>
      <c r="GG127" s="207"/>
      <c r="GH127" s="207"/>
      <c r="GI127" s="207"/>
      <c r="GJ127" s="207"/>
      <c r="GK127" s="207"/>
      <c r="GL127" s="207"/>
      <c r="GM127" s="214"/>
      <c r="GN127" s="214"/>
      <c r="GO127" s="214"/>
      <c r="GP127" s="214"/>
      <c r="GQ127" s="214"/>
      <c r="GR127" s="214"/>
      <c r="GS127" s="214"/>
      <c r="GT127" s="214"/>
      <c r="GU127" s="214"/>
      <c r="GV127" s="214"/>
      <c r="GW127" s="214"/>
      <c r="GX127" s="214"/>
      <c r="GY127" s="214"/>
      <c r="GZ127" s="214"/>
      <c r="HA127" s="214"/>
      <c r="HB127" s="214"/>
      <c r="HC127" s="214"/>
      <c r="HD127" s="214"/>
      <c r="HE127" s="214"/>
      <c r="HF127" s="214"/>
      <c r="HG127" s="214"/>
      <c r="HH127" s="214"/>
      <c r="HI127" s="214"/>
      <c r="HJ127" s="214"/>
      <c r="HK127" s="214"/>
      <c r="HL127" s="214"/>
      <c r="HM127" s="214"/>
      <c r="HN127" s="214"/>
      <c r="HO127" s="214"/>
      <c r="HP127" s="214"/>
      <c r="HQ127" s="214"/>
      <c r="HR127" s="214"/>
      <c r="HS127" s="214"/>
      <c r="HT127" s="214"/>
      <c r="HU127" s="214"/>
      <c r="HV127" s="214"/>
      <c r="HW127" s="214"/>
      <c r="HX127" s="214"/>
      <c r="HY127" s="214"/>
      <c r="HZ127" s="214"/>
      <c r="IA127" s="214"/>
      <c r="IB127" s="214"/>
      <c r="IC127" s="214"/>
      <c r="ID127" s="214"/>
      <c r="IE127" s="214"/>
      <c r="IF127" s="214"/>
      <c r="IG127" s="214"/>
      <c r="IH127" s="214"/>
      <c r="II127" s="214"/>
      <c r="IJ127" s="214"/>
      <c r="IK127" s="214"/>
      <c r="IL127" s="214"/>
      <c r="IM127" s="214"/>
      <c r="IN127" s="214"/>
      <c r="IO127" s="214"/>
      <c r="IP127" s="214"/>
      <c r="IQ127" s="214"/>
      <c r="IR127" s="214"/>
      <c r="IS127" s="214"/>
      <c r="IT127" s="214"/>
      <c r="IU127" s="214"/>
      <c r="IV127" s="214"/>
    </row>
    <row r="128" spans="1:256" s="3" customFormat="1" ht="13.5" customHeight="1">
      <c r="A128" s="340">
        <v>23</v>
      </c>
      <c r="B128" s="354" t="s">
        <v>29</v>
      </c>
      <c r="C128" s="335" t="s">
        <v>392</v>
      </c>
      <c r="D128" s="335" t="s">
        <v>393</v>
      </c>
      <c r="E128" s="335" t="s">
        <v>41</v>
      </c>
      <c r="F128" s="404">
        <f>SUM(F130:F131)</f>
        <v>1350</v>
      </c>
      <c r="G128" s="304"/>
      <c r="H128" s="304">
        <f>F128*G128</f>
        <v>0</v>
      </c>
      <c r="I128" s="253" t="s">
        <v>57</v>
      </c>
      <c r="J128" s="255"/>
      <c r="K128" s="139"/>
      <c r="L128" s="139"/>
      <c r="M128" s="139"/>
      <c r="N128" s="139"/>
      <c r="O128" s="139"/>
      <c r="P128" s="139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8"/>
      <c r="BR128" s="38"/>
      <c r="BS128" s="38"/>
      <c r="BT128" s="38"/>
      <c r="BU128" s="38"/>
      <c r="BV128" s="38"/>
      <c r="BW128" s="38"/>
      <c r="BX128" s="38"/>
      <c r="BY128" s="38"/>
      <c r="BZ128" s="38"/>
      <c r="CA128" s="38"/>
      <c r="CB128" s="38"/>
      <c r="CC128" s="38"/>
      <c r="CD128" s="38"/>
      <c r="CE128" s="38"/>
      <c r="CF128" s="38"/>
      <c r="CG128" s="38"/>
      <c r="CH128" s="38"/>
      <c r="CI128" s="38"/>
      <c r="CJ128" s="38"/>
      <c r="CK128" s="38"/>
      <c r="CL128" s="38"/>
      <c r="CM128" s="38"/>
      <c r="CN128" s="38"/>
      <c r="CO128" s="38"/>
      <c r="CP128" s="38"/>
      <c r="CQ128" s="38"/>
      <c r="CR128" s="38"/>
      <c r="CS128" s="38"/>
      <c r="CT128" s="38"/>
      <c r="CU128" s="38"/>
      <c r="CV128" s="38"/>
      <c r="CW128" s="38"/>
    </row>
    <row r="129" spans="1:256" s="3" customFormat="1" ht="13.5" customHeight="1">
      <c r="A129" s="340"/>
      <c r="B129" s="335"/>
      <c r="C129" s="335"/>
      <c r="D129" s="336" t="s">
        <v>394</v>
      </c>
      <c r="E129" s="335"/>
      <c r="F129" s="341"/>
      <c r="G129" s="304"/>
      <c r="H129" s="304"/>
      <c r="I129" s="218"/>
      <c r="J129" s="369"/>
      <c r="K129" s="139"/>
      <c r="L129" s="139"/>
      <c r="M129" s="139"/>
      <c r="N129" s="139"/>
      <c r="O129" s="139"/>
      <c r="P129" s="139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8"/>
      <c r="BS129" s="38"/>
      <c r="BT129" s="38"/>
      <c r="BU129" s="38"/>
      <c r="BV129" s="38"/>
      <c r="BW129" s="38"/>
      <c r="BX129" s="38"/>
      <c r="BY129" s="38"/>
      <c r="BZ129" s="38"/>
      <c r="CA129" s="38"/>
      <c r="CB129" s="38"/>
      <c r="CC129" s="38"/>
      <c r="CD129" s="38"/>
      <c r="CE129" s="38"/>
      <c r="CF129" s="38"/>
      <c r="CG129" s="38"/>
      <c r="CH129" s="38"/>
      <c r="CI129" s="38"/>
      <c r="CJ129" s="38"/>
      <c r="CK129" s="38"/>
      <c r="CL129" s="38"/>
      <c r="CM129" s="38"/>
      <c r="CN129" s="38"/>
      <c r="CO129" s="38"/>
      <c r="CP129" s="38"/>
      <c r="CQ129" s="38"/>
      <c r="CR129" s="38"/>
      <c r="CS129" s="38"/>
      <c r="CT129" s="38"/>
      <c r="CU129" s="38"/>
      <c r="CV129" s="38"/>
      <c r="CW129" s="38"/>
    </row>
    <row r="130" spans="1:256" s="3" customFormat="1" ht="13.5" customHeight="1">
      <c r="A130" s="340"/>
      <c r="B130" s="335"/>
      <c r="C130" s="335"/>
      <c r="D130" s="336" t="s">
        <v>411</v>
      </c>
      <c r="E130" s="335"/>
      <c r="F130" s="341">
        <f>(400)*1.5</f>
        <v>600</v>
      </c>
      <c r="G130" s="304"/>
      <c r="H130" s="304"/>
      <c r="I130" s="218"/>
      <c r="J130" s="360"/>
      <c r="K130" s="139"/>
      <c r="L130" s="139"/>
      <c r="M130" s="139"/>
      <c r="N130" s="139"/>
      <c r="O130" s="139"/>
      <c r="P130" s="139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38"/>
      <c r="BR130" s="38"/>
      <c r="BS130" s="38"/>
      <c r="BT130" s="38"/>
      <c r="BU130" s="38"/>
      <c r="BV130" s="38"/>
      <c r="BW130" s="38"/>
      <c r="BX130" s="38"/>
      <c r="BY130" s="38"/>
      <c r="BZ130" s="38"/>
      <c r="CA130" s="38"/>
      <c r="CB130" s="38"/>
      <c r="CC130" s="38"/>
      <c r="CD130" s="38"/>
      <c r="CE130" s="38"/>
      <c r="CF130" s="38"/>
      <c r="CG130" s="38"/>
      <c r="CH130" s="38"/>
      <c r="CI130" s="38"/>
      <c r="CJ130" s="38"/>
      <c r="CK130" s="38"/>
      <c r="CL130" s="38"/>
      <c r="CM130" s="38"/>
      <c r="CN130" s="38"/>
      <c r="CO130" s="38"/>
      <c r="CP130" s="38"/>
      <c r="CQ130" s="38"/>
      <c r="CR130" s="38"/>
      <c r="CS130" s="38"/>
      <c r="CT130" s="38"/>
      <c r="CU130" s="38"/>
      <c r="CV130" s="38"/>
      <c r="CW130" s="38"/>
    </row>
    <row r="131" spans="1:256" s="3" customFormat="1" ht="13.5" customHeight="1">
      <c r="A131" s="340"/>
      <c r="B131" s="335"/>
      <c r="C131" s="335"/>
      <c r="D131" s="336" t="s">
        <v>412</v>
      </c>
      <c r="E131" s="335"/>
      <c r="F131" s="341">
        <f>(500)*1.5</f>
        <v>750</v>
      </c>
      <c r="G131" s="304"/>
      <c r="H131" s="304"/>
      <c r="I131" s="218"/>
      <c r="J131" s="360"/>
      <c r="K131" s="139"/>
      <c r="L131" s="139"/>
      <c r="M131" s="139"/>
      <c r="N131" s="139"/>
      <c r="O131" s="139"/>
      <c r="P131" s="139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38"/>
      <c r="BR131" s="38"/>
      <c r="BS131" s="38"/>
      <c r="BT131" s="38"/>
      <c r="BU131" s="38"/>
      <c r="BV131" s="38"/>
      <c r="BW131" s="38"/>
      <c r="BX131" s="38"/>
      <c r="BY131" s="38"/>
      <c r="BZ131" s="38"/>
      <c r="CA131" s="38"/>
      <c r="CB131" s="38"/>
      <c r="CC131" s="38"/>
      <c r="CD131" s="38"/>
      <c r="CE131" s="38"/>
      <c r="CF131" s="38"/>
      <c r="CG131" s="38"/>
      <c r="CH131" s="38"/>
      <c r="CI131" s="38"/>
      <c r="CJ131" s="38"/>
      <c r="CK131" s="38"/>
      <c r="CL131" s="38"/>
      <c r="CM131" s="38"/>
      <c r="CN131" s="38"/>
      <c r="CO131" s="38"/>
      <c r="CP131" s="38"/>
      <c r="CQ131" s="38"/>
      <c r="CR131" s="38"/>
      <c r="CS131" s="38"/>
      <c r="CT131" s="38"/>
      <c r="CU131" s="38"/>
      <c r="CV131" s="38"/>
      <c r="CW131" s="38"/>
    </row>
    <row r="132" spans="1:256" s="3" customFormat="1" ht="40.5" customHeight="1">
      <c r="A132" s="340"/>
      <c r="B132" s="335"/>
      <c r="C132" s="335"/>
      <c r="D132" s="336" t="s">
        <v>395</v>
      </c>
      <c r="E132" s="335"/>
      <c r="F132" s="341"/>
      <c r="G132" s="304"/>
      <c r="H132" s="304"/>
      <c r="I132" s="218"/>
      <c r="J132" s="372"/>
      <c r="K132" s="372"/>
      <c r="L132" s="139"/>
      <c r="M132" s="139"/>
      <c r="N132" s="139"/>
      <c r="O132" s="139"/>
      <c r="P132" s="139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38"/>
      <c r="BR132" s="38"/>
      <c r="BS132" s="38"/>
      <c r="BT132" s="38"/>
      <c r="BU132" s="38"/>
      <c r="BV132" s="38"/>
      <c r="BW132" s="38"/>
      <c r="BX132" s="38"/>
      <c r="BY132" s="38"/>
      <c r="BZ132" s="38"/>
      <c r="CA132" s="38"/>
      <c r="CB132" s="38"/>
      <c r="CC132" s="38"/>
      <c r="CD132" s="38"/>
      <c r="CE132" s="38"/>
      <c r="CF132" s="38"/>
      <c r="CG132" s="38"/>
      <c r="CH132" s="38"/>
      <c r="CI132" s="38"/>
      <c r="CJ132" s="38"/>
      <c r="CK132" s="38"/>
      <c r="CL132" s="38"/>
      <c r="CM132" s="38"/>
      <c r="CN132" s="38"/>
      <c r="CO132" s="38"/>
      <c r="CP132" s="38"/>
      <c r="CQ132" s="38"/>
      <c r="CR132" s="38"/>
      <c r="CS132" s="38"/>
      <c r="CT132" s="38"/>
      <c r="CU132" s="38"/>
      <c r="CV132" s="38"/>
      <c r="CW132" s="38"/>
    </row>
    <row r="133" spans="1:256" s="12" customFormat="1" ht="27" customHeight="1">
      <c r="A133" s="67">
        <v>24</v>
      </c>
      <c r="B133" s="68" t="s">
        <v>29</v>
      </c>
      <c r="C133" s="69" t="s">
        <v>167</v>
      </c>
      <c r="D133" s="107" t="s">
        <v>168</v>
      </c>
      <c r="E133" s="69" t="s">
        <v>30</v>
      </c>
      <c r="F133" s="100">
        <f>SUM(F134)</f>
        <v>25</v>
      </c>
      <c r="G133" s="108"/>
      <c r="H133" s="71">
        <f>F133*G133</f>
        <v>0</v>
      </c>
      <c r="I133" s="101" t="s">
        <v>39</v>
      </c>
      <c r="J133" s="213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  <c r="BI133" s="207"/>
      <c r="BJ133" s="207"/>
      <c r="BK133" s="207"/>
      <c r="BL133" s="207"/>
      <c r="BM133" s="207"/>
      <c r="BN133" s="73"/>
      <c r="BO133" s="73"/>
      <c r="BP133" s="73"/>
      <c r="BQ133" s="73"/>
      <c r="BR133" s="73"/>
      <c r="BS133" s="73"/>
      <c r="BT133" s="73"/>
      <c r="BU133" s="73"/>
      <c r="BV133" s="73"/>
      <c r="BW133" s="73"/>
      <c r="BX133" s="73"/>
      <c r="BY133" s="73"/>
      <c r="BZ133" s="73"/>
      <c r="CA133" s="73"/>
      <c r="CB133" s="73"/>
      <c r="CC133" s="73"/>
      <c r="CD133" s="73"/>
      <c r="CE133" s="73"/>
      <c r="CF133" s="73"/>
      <c r="CG133" s="73"/>
      <c r="CH133" s="73"/>
      <c r="CI133" s="73"/>
      <c r="CJ133" s="73"/>
      <c r="CK133" s="73"/>
      <c r="CL133" s="73"/>
      <c r="CM133" s="73"/>
      <c r="CN133" s="73"/>
      <c r="CO133" s="73"/>
      <c r="CP133" s="73"/>
      <c r="CQ133" s="73"/>
      <c r="CR133" s="73"/>
      <c r="CS133" s="73"/>
      <c r="CT133" s="73"/>
      <c r="CU133" s="73"/>
      <c r="CV133" s="73"/>
      <c r="CW133" s="73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  <c r="IU133" s="8"/>
      <c r="IV133" s="8"/>
    </row>
    <row r="134" spans="1:256" s="12" customFormat="1" ht="27" customHeight="1">
      <c r="A134" s="67"/>
      <c r="B134" s="68"/>
      <c r="C134" s="69"/>
      <c r="D134" s="76" t="s">
        <v>169</v>
      </c>
      <c r="E134" s="69"/>
      <c r="F134" s="103">
        <v>25</v>
      </c>
      <c r="G134" s="108"/>
      <c r="H134" s="71"/>
      <c r="I134" s="101"/>
      <c r="J134" s="373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  <c r="BI134" s="207"/>
      <c r="BJ134" s="207"/>
      <c r="BK134" s="207"/>
      <c r="BL134" s="207"/>
      <c r="BM134" s="207"/>
      <c r="BN134" s="73"/>
      <c r="BO134" s="73"/>
      <c r="BP134" s="73"/>
      <c r="BQ134" s="73"/>
      <c r="BR134" s="73"/>
      <c r="BS134" s="73"/>
      <c r="BT134" s="73"/>
      <c r="BU134" s="73"/>
      <c r="BV134" s="73"/>
      <c r="BW134" s="73"/>
      <c r="BX134" s="73"/>
      <c r="BY134" s="73"/>
      <c r="BZ134" s="73"/>
      <c r="CA134" s="73"/>
      <c r="CB134" s="73"/>
      <c r="CC134" s="73"/>
      <c r="CD134" s="73"/>
      <c r="CE134" s="73"/>
      <c r="CF134" s="73"/>
      <c r="CG134" s="73"/>
      <c r="CH134" s="73"/>
      <c r="CI134" s="73"/>
      <c r="CJ134" s="73"/>
      <c r="CK134" s="73"/>
      <c r="CL134" s="73"/>
      <c r="CM134" s="73"/>
      <c r="CN134" s="73"/>
      <c r="CO134" s="73"/>
      <c r="CP134" s="73"/>
      <c r="CQ134" s="73"/>
      <c r="CR134" s="73"/>
      <c r="CS134" s="73"/>
      <c r="CT134" s="73"/>
      <c r="CU134" s="73"/>
      <c r="CV134" s="73"/>
      <c r="CW134" s="73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  <c r="IU134" s="8"/>
      <c r="IV134" s="8"/>
    </row>
    <row r="135" spans="1:256" s="12" customFormat="1" ht="40.5" customHeight="1">
      <c r="A135" s="67"/>
      <c r="B135" s="68"/>
      <c r="C135" s="69"/>
      <c r="D135" s="76" t="s">
        <v>170</v>
      </c>
      <c r="E135" s="69"/>
      <c r="F135" s="100"/>
      <c r="G135" s="71"/>
      <c r="H135" s="71"/>
      <c r="I135" s="101"/>
      <c r="J135" s="373"/>
      <c r="K135" s="207"/>
      <c r="L135" s="210"/>
      <c r="M135" s="207"/>
      <c r="N135" s="207"/>
      <c r="O135" s="211"/>
      <c r="P135" s="211"/>
      <c r="Q135" s="211"/>
      <c r="R135" s="211"/>
      <c r="S135" s="211"/>
      <c r="T135" s="211"/>
      <c r="U135" s="211"/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/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  <c r="BI135" s="211"/>
      <c r="BJ135" s="211"/>
      <c r="BK135" s="211"/>
      <c r="BL135" s="211"/>
      <c r="BM135" s="211"/>
      <c r="BN135" s="109"/>
      <c r="BO135" s="109"/>
      <c r="BP135" s="109"/>
      <c r="BQ135" s="109"/>
      <c r="BR135" s="109"/>
      <c r="BS135" s="109"/>
      <c r="BT135" s="109"/>
      <c r="BU135" s="109"/>
      <c r="BV135" s="109"/>
      <c r="BW135" s="109"/>
      <c r="BX135" s="109"/>
      <c r="BY135" s="109"/>
      <c r="BZ135" s="109"/>
      <c r="CA135" s="109"/>
      <c r="CB135" s="109"/>
      <c r="CC135" s="109"/>
      <c r="CD135" s="109"/>
      <c r="CE135" s="109"/>
      <c r="CF135" s="109"/>
      <c r="CG135" s="109"/>
      <c r="CH135" s="109"/>
      <c r="CI135" s="109"/>
      <c r="CJ135" s="109"/>
      <c r="CK135" s="109"/>
      <c r="CL135" s="109"/>
      <c r="CM135" s="109"/>
      <c r="CN135" s="109"/>
      <c r="CO135" s="109"/>
      <c r="CP135" s="109"/>
      <c r="CQ135" s="109"/>
      <c r="CR135" s="109"/>
      <c r="CS135" s="109"/>
      <c r="CT135" s="109"/>
      <c r="CU135" s="109"/>
      <c r="CV135" s="109"/>
      <c r="CW135" s="109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  <c r="EN135" s="5"/>
      <c r="EO135" s="5"/>
      <c r="EP135" s="5"/>
      <c r="EQ135" s="5"/>
      <c r="ER135" s="5"/>
      <c r="ES135" s="5"/>
      <c r="ET135" s="5"/>
      <c r="EU135" s="5"/>
      <c r="EV135" s="5"/>
      <c r="EW135" s="5"/>
      <c r="EX135" s="5"/>
      <c r="EY135" s="5"/>
      <c r="EZ135" s="5"/>
      <c r="FA135" s="5"/>
      <c r="FB135" s="5"/>
      <c r="FC135" s="5"/>
      <c r="FD135" s="5"/>
      <c r="FE135" s="5"/>
      <c r="FF135" s="5"/>
      <c r="FG135" s="5"/>
      <c r="FH135" s="5"/>
      <c r="FI135" s="5"/>
      <c r="FJ135" s="5"/>
      <c r="FK135" s="5"/>
      <c r="FL135" s="5"/>
      <c r="FM135" s="5"/>
      <c r="FN135" s="5"/>
      <c r="FO135" s="5"/>
      <c r="FP135" s="5"/>
      <c r="FQ135" s="5"/>
      <c r="FR135" s="5"/>
      <c r="FS135" s="5"/>
      <c r="FT135" s="5"/>
      <c r="FU135" s="5"/>
      <c r="FV135" s="5"/>
      <c r="FW135" s="5"/>
      <c r="FX135" s="5"/>
      <c r="FY135" s="5"/>
      <c r="FZ135" s="5"/>
      <c r="GA135" s="5"/>
      <c r="GB135" s="5"/>
      <c r="GC135" s="5"/>
      <c r="GD135" s="5"/>
      <c r="GE135" s="5"/>
      <c r="GF135" s="5"/>
      <c r="GG135" s="5"/>
      <c r="GH135" s="5"/>
      <c r="GI135" s="5"/>
      <c r="GJ135" s="5"/>
      <c r="GK135" s="5"/>
      <c r="GL135" s="5"/>
      <c r="GM135" s="5"/>
      <c r="GN135" s="5"/>
      <c r="GO135" s="5"/>
      <c r="GP135" s="5"/>
      <c r="GQ135" s="5"/>
      <c r="GR135" s="5"/>
      <c r="GS135" s="5"/>
      <c r="GT135" s="5"/>
      <c r="GU135" s="5"/>
      <c r="GV135" s="5"/>
      <c r="GW135" s="5"/>
      <c r="GX135" s="5"/>
      <c r="GY135" s="5"/>
      <c r="GZ135" s="5"/>
      <c r="HA135" s="5"/>
      <c r="HB135" s="5"/>
      <c r="HC135" s="5"/>
      <c r="HD135" s="5"/>
      <c r="HE135" s="5"/>
      <c r="HF135" s="5"/>
      <c r="HG135" s="5"/>
      <c r="HH135" s="5"/>
      <c r="HI135" s="5"/>
      <c r="HJ135" s="5"/>
      <c r="HK135" s="5"/>
      <c r="HL135" s="5"/>
      <c r="HM135" s="5"/>
      <c r="HN135" s="5"/>
      <c r="HO135" s="5"/>
      <c r="HP135" s="5"/>
      <c r="HQ135" s="5"/>
      <c r="HR135" s="5"/>
      <c r="HS135" s="5"/>
      <c r="HT135" s="5"/>
      <c r="HU135" s="5"/>
      <c r="HV135" s="5"/>
      <c r="HW135" s="5"/>
      <c r="HX135" s="5"/>
      <c r="HY135" s="5"/>
      <c r="HZ135" s="5"/>
      <c r="IA135" s="5"/>
      <c r="IB135" s="5"/>
      <c r="IC135" s="5"/>
      <c r="ID135" s="5"/>
      <c r="IE135" s="5"/>
      <c r="IF135" s="5"/>
      <c r="IG135" s="5"/>
      <c r="IH135" s="5"/>
      <c r="II135" s="5"/>
      <c r="IJ135" s="5"/>
      <c r="IK135" s="5"/>
      <c r="IL135" s="5"/>
      <c r="IM135" s="5"/>
      <c r="IN135" s="5"/>
      <c r="IO135" s="5"/>
      <c r="IP135" s="5"/>
      <c r="IQ135" s="5"/>
      <c r="IR135" s="5"/>
      <c r="IS135" s="5"/>
      <c r="IT135" s="5"/>
      <c r="IU135" s="5"/>
      <c r="IV135" s="5"/>
    </row>
    <row r="136" spans="1:256" s="12" customFormat="1" ht="13.5" customHeight="1">
      <c r="A136" s="67">
        <v>25</v>
      </c>
      <c r="B136" s="68" t="s">
        <v>29</v>
      </c>
      <c r="C136" s="69" t="s">
        <v>171</v>
      </c>
      <c r="D136" s="107" t="s">
        <v>172</v>
      </c>
      <c r="E136" s="69" t="s">
        <v>30</v>
      </c>
      <c r="F136" s="100">
        <f>SUM(F138:F139)</f>
        <v>7.72</v>
      </c>
      <c r="G136" s="108"/>
      <c r="H136" s="71">
        <f>F136*G136</f>
        <v>0</v>
      </c>
      <c r="I136" s="101" t="s">
        <v>39</v>
      </c>
      <c r="J136" s="213"/>
      <c r="K136" s="207"/>
      <c r="L136" s="207"/>
      <c r="M136" s="207"/>
      <c r="N136" s="207"/>
      <c r="O136" s="207"/>
      <c r="P136" s="207"/>
      <c r="Q136" s="207"/>
      <c r="R136" s="207"/>
      <c r="S136" s="207"/>
      <c r="T136" s="207"/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/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  <c r="BI136" s="207"/>
      <c r="BJ136" s="207"/>
      <c r="BK136" s="207"/>
      <c r="BL136" s="207"/>
      <c r="BM136" s="207"/>
      <c r="BN136" s="73"/>
      <c r="BO136" s="73"/>
      <c r="BP136" s="73"/>
      <c r="BQ136" s="73"/>
      <c r="BR136" s="73"/>
      <c r="BS136" s="73"/>
      <c r="BT136" s="73"/>
      <c r="BU136" s="73"/>
      <c r="BV136" s="73"/>
      <c r="BW136" s="73"/>
      <c r="BX136" s="73"/>
      <c r="BY136" s="73"/>
      <c r="BZ136" s="73"/>
      <c r="CA136" s="73"/>
      <c r="CB136" s="73"/>
      <c r="CC136" s="73"/>
      <c r="CD136" s="73"/>
      <c r="CE136" s="73"/>
      <c r="CF136" s="73"/>
      <c r="CG136" s="73"/>
      <c r="CH136" s="73"/>
      <c r="CI136" s="73"/>
      <c r="CJ136" s="73"/>
      <c r="CK136" s="73"/>
      <c r="CL136" s="73"/>
      <c r="CM136" s="73"/>
      <c r="CN136" s="73"/>
      <c r="CO136" s="73"/>
      <c r="CP136" s="73"/>
      <c r="CQ136" s="73"/>
      <c r="CR136" s="73"/>
      <c r="CS136" s="73"/>
      <c r="CT136" s="73"/>
      <c r="CU136" s="73"/>
      <c r="CV136" s="73"/>
      <c r="CW136" s="73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  <c r="IU136" s="8"/>
      <c r="IV136" s="8"/>
    </row>
    <row r="137" spans="1:256" s="12" customFormat="1" ht="27" customHeight="1">
      <c r="A137" s="67"/>
      <c r="B137" s="68"/>
      <c r="C137" s="69"/>
      <c r="D137" s="76" t="s">
        <v>173</v>
      </c>
      <c r="E137" s="69"/>
      <c r="F137" s="103"/>
      <c r="G137" s="108"/>
      <c r="H137" s="71"/>
      <c r="I137" s="101"/>
      <c r="J137" s="213"/>
      <c r="K137" s="207"/>
      <c r="L137" s="207"/>
      <c r="M137" s="207"/>
      <c r="N137" s="207"/>
      <c r="O137" s="207"/>
      <c r="P137" s="207"/>
      <c r="Q137" s="207"/>
      <c r="R137" s="207"/>
      <c r="S137" s="207"/>
      <c r="T137" s="207"/>
      <c r="U137" s="207"/>
      <c r="V137" s="207"/>
      <c r="W137" s="207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/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  <c r="BI137" s="207"/>
      <c r="BJ137" s="207"/>
      <c r="BK137" s="207"/>
      <c r="BL137" s="207"/>
      <c r="BM137" s="207"/>
      <c r="BN137" s="73"/>
      <c r="BO137" s="73"/>
      <c r="BP137" s="73"/>
      <c r="BQ137" s="73"/>
      <c r="BR137" s="73"/>
      <c r="BS137" s="73"/>
      <c r="BT137" s="73"/>
      <c r="BU137" s="73"/>
      <c r="BV137" s="73"/>
      <c r="BW137" s="73"/>
      <c r="BX137" s="73"/>
      <c r="BY137" s="73"/>
      <c r="BZ137" s="73"/>
      <c r="CA137" s="73"/>
      <c r="CB137" s="73"/>
      <c r="CC137" s="73"/>
      <c r="CD137" s="73"/>
      <c r="CE137" s="73"/>
      <c r="CF137" s="73"/>
      <c r="CG137" s="73"/>
      <c r="CH137" s="73"/>
      <c r="CI137" s="73"/>
      <c r="CJ137" s="73"/>
      <c r="CK137" s="73"/>
      <c r="CL137" s="73"/>
      <c r="CM137" s="73"/>
      <c r="CN137" s="73"/>
      <c r="CO137" s="73"/>
      <c r="CP137" s="73"/>
      <c r="CQ137" s="73"/>
      <c r="CR137" s="73"/>
      <c r="CS137" s="73"/>
      <c r="CT137" s="73"/>
      <c r="CU137" s="73"/>
      <c r="CV137" s="73"/>
      <c r="CW137" s="73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  <c r="IU137" s="8"/>
      <c r="IV137" s="8"/>
    </row>
    <row r="138" spans="1:256" s="12" customFormat="1" ht="13.5" customHeight="1">
      <c r="A138" s="67"/>
      <c r="B138" s="68"/>
      <c r="C138" s="69"/>
      <c r="D138" s="76" t="s">
        <v>174</v>
      </c>
      <c r="E138" s="69"/>
      <c r="F138" s="103">
        <f>0.2*1.1</f>
        <v>0.22000000000000003</v>
      </c>
      <c r="G138" s="108"/>
      <c r="H138" s="71"/>
      <c r="I138" s="101"/>
      <c r="J138" s="213"/>
      <c r="K138" s="207"/>
      <c r="L138" s="207"/>
      <c r="M138" s="207"/>
      <c r="N138" s="207"/>
      <c r="O138" s="207"/>
      <c r="P138" s="207"/>
      <c r="Q138" s="207"/>
      <c r="R138" s="207"/>
      <c r="S138" s="207"/>
      <c r="T138" s="207"/>
      <c r="U138" s="207"/>
      <c r="V138" s="207"/>
      <c r="W138" s="207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/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  <c r="BI138" s="207"/>
      <c r="BJ138" s="207"/>
      <c r="BK138" s="207"/>
      <c r="BL138" s="207"/>
      <c r="BM138" s="207"/>
      <c r="BN138" s="73"/>
      <c r="BO138" s="73"/>
      <c r="BP138" s="73"/>
      <c r="BQ138" s="73"/>
      <c r="BR138" s="73"/>
      <c r="BS138" s="73"/>
      <c r="BT138" s="73"/>
      <c r="BU138" s="73"/>
      <c r="BV138" s="73"/>
      <c r="BW138" s="73"/>
      <c r="BX138" s="73"/>
      <c r="BY138" s="73"/>
      <c r="BZ138" s="73"/>
      <c r="CA138" s="73"/>
      <c r="CB138" s="73"/>
      <c r="CC138" s="73"/>
      <c r="CD138" s="73"/>
      <c r="CE138" s="73"/>
      <c r="CF138" s="73"/>
      <c r="CG138" s="73"/>
      <c r="CH138" s="73"/>
      <c r="CI138" s="73"/>
      <c r="CJ138" s="73"/>
      <c r="CK138" s="73"/>
      <c r="CL138" s="73"/>
      <c r="CM138" s="73"/>
      <c r="CN138" s="73"/>
      <c r="CO138" s="73"/>
      <c r="CP138" s="73"/>
      <c r="CQ138" s="73"/>
      <c r="CR138" s="73"/>
      <c r="CS138" s="73"/>
      <c r="CT138" s="73"/>
      <c r="CU138" s="73"/>
      <c r="CV138" s="73"/>
      <c r="CW138" s="73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  <c r="IU138" s="8"/>
      <c r="IV138" s="8"/>
    </row>
    <row r="139" spans="1:256" s="12" customFormat="1" ht="13.5" customHeight="1">
      <c r="A139" s="67"/>
      <c r="B139" s="68"/>
      <c r="C139" s="69"/>
      <c r="D139" s="76" t="s">
        <v>361</v>
      </c>
      <c r="E139" s="69"/>
      <c r="F139" s="103">
        <v>7.5</v>
      </c>
      <c r="G139" s="108"/>
      <c r="H139" s="71"/>
      <c r="I139" s="101"/>
      <c r="J139" s="213"/>
      <c r="K139" s="207"/>
      <c r="L139" s="207"/>
      <c r="M139" s="207"/>
      <c r="N139" s="207"/>
      <c r="O139" s="207"/>
      <c r="P139" s="207"/>
      <c r="Q139" s="207"/>
      <c r="R139" s="207"/>
      <c r="S139" s="207"/>
      <c r="T139" s="207"/>
      <c r="U139" s="207"/>
      <c r="V139" s="207"/>
      <c r="W139" s="207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/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  <c r="BI139" s="207"/>
      <c r="BJ139" s="207"/>
      <c r="BK139" s="207"/>
      <c r="BL139" s="207"/>
      <c r="BM139" s="207"/>
      <c r="BN139" s="73"/>
      <c r="BO139" s="73"/>
      <c r="BP139" s="73"/>
      <c r="BQ139" s="73"/>
      <c r="BR139" s="73"/>
      <c r="BS139" s="73"/>
      <c r="BT139" s="73"/>
      <c r="BU139" s="73"/>
      <c r="BV139" s="73"/>
      <c r="BW139" s="73"/>
      <c r="BX139" s="73"/>
      <c r="BY139" s="73"/>
      <c r="BZ139" s="73"/>
      <c r="CA139" s="73"/>
      <c r="CB139" s="73"/>
      <c r="CC139" s="73"/>
      <c r="CD139" s="73"/>
      <c r="CE139" s="73"/>
      <c r="CF139" s="73"/>
      <c r="CG139" s="73"/>
      <c r="CH139" s="73"/>
      <c r="CI139" s="73"/>
      <c r="CJ139" s="73"/>
      <c r="CK139" s="73"/>
      <c r="CL139" s="73"/>
      <c r="CM139" s="73"/>
      <c r="CN139" s="73"/>
      <c r="CO139" s="73"/>
      <c r="CP139" s="73"/>
      <c r="CQ139" s="73"/>
      <c r="CR139" s="73"/>
      <c r="CS139" s="73"/>
      <c r="CT139" s="73"/>
      <c r="CU139" s="73"/>
      <c r="CV139" s="73"/>
      <c r="CW139" s="73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  <c r="IU139" s="8"/>
      <c r="IV139" s="8"/>
    </row>
    <row r="140" spans="1:256" s="12" customFormat="1" ht="40.5" customHeight="1">
      <c r="A140" s="67"/>
      <c r="B140" s="68"/>
      <c r="C140" s="69"/>
      <c r="D140" s="76" t="s">
        <v>175</v>
      </c>
      <c r="E140" s="69"/>
      <c r="F140" s="100"/>
      <c r="G140" s="71"/>
      <c r="H140" s="71"/>
      <c r="I140" s="101"/>
      <c r="J140" s="306"/>
      <c r="K140" s="207"/>
      <c r="L140" s="210"/>
      <c r="M140" s="207"/>
      <c r="N140" s="207"/>
      <c r="O140" s="211"/>
      <c r="P140" s="211"/>
      <c r="Q140" s="211"/>
      <c r="R140" s="211"/>
      <c r="S140" s="211"/>
      <c r="T140" s="211"/>
      <c r="U140" s="211"/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/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  <c r="BI140" s="211"/>
      <c r="BJ140" s="211"/>
      <c r="BK140" s="211"/>
      <c r="BL140" s="211"/>
      <c r="BM140" s="211"/>
      <c r="BN140" s="109"/>
      <c r="BO140" s="109"/>
      <c r="BP140" s="109"/>
      <c r="BQ140" s="109"/>
      <c r="BR140" s="109"/>
      <c r="BS140" s="109"/>
      <c r="BT140" s="109"/>
      <c r="BU140" s="109"/>
      <c r="BV140" s="109"/>
      <c r="BW140" s="109"/>
      <c r="BX140" s="109"/>
      <c r="BY140" s="109"/>
      <c r="BZ140" s="109"/>
      <c r="CA140" s="109"/>
      <c r="CB140" s="109"/>
      <c r="CC140" s="109"/>
      <c r="CD140" s="109"/>
      <c r="CE140" s="109"/>
      <c r="CF140" s="109"/>
      <c r="CG140" s="109"/>
      <c r="CH140" s="109"/>
      <c r="CI140" s="109"/>
      <c r="CJ140" s="109"/>
      <c r="CK140" s="109"/>
      <c r="CL140" s="109"/>
      <c r="CM140" s="109"/>
      <c r="CN140" s="109"/>
      <c r="CO140" s="109"/>
      <c r="CP140" s="109"/>
      <c r="CQ140" s="109"/>
      <c r="CR140" s="109"/>
      <c r="CS140" s="109"/>
      <c r="CT140" s="109"/>
      <c r="CU140" s="109"/>
      <c r="CV140" s="109"/>
      <c r="CW140" s="109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  <c r="EN140" s="5"/>
      <c r="EO140" s="5"/>
      <c r="EP140" s="5"/>
      <c r="EQ140" s="5"/>
      <c r="ER140" s="5"/>
      <c r="ES140" s="5"/>
      <c r="ET140" s="5"/>
      <c r="EU140" s="5"/>
      <c r="EV140" s="5"/>
      <c r="EW140" s="5"/>
      <c r="EX140" s="5"/>
      <c r="EY140" s="5"/>
      <c r="EZ140" s="5"/>
      <c r="FA140" s="5"/>
      <c r="FB140" s="5"/>
      <c r="FC140" s="5"/>
      <c r="FD140" s="5"/>
      <c r="FE140" s="5"/>
      <c r="FF140" s="5"/>
      <c r="FG140" s="5"/>
      <c r="FH140" s="5"/>
      <c r="FI140" s="5"/>
      <c r="FJ140" s="5"/>
      <c r="FK140" s="5"/>
      <c r="FL140" s="5"/>
      <c r="FM140" s="5"/>
      <c r="FN140" s="5"/>
      <c r="FO140" s="5"/>
      <c r="FP140" s="5"/>
      <c r="FQ140" s="5"/>
      <c r="FR140" s="5"/>
      <c r="FS140" s="5"/>
      <c r="FT140" s="5"/>
      <c r="FU140" s="5"/>
      <c r="FV140" s="5"/>
      <c r="FW140" s="5"/>
      <c r="FX140" s="5"/>
      <c r="FY140" s="5"/>
      <c r="FZ140" s="5"/>
      <c r="GA140" s="5"/>
      <c r="GB140" s="5"/>
      <c r="GC140" s="5"/>
      <c r="GD140" s="5"/>
      <c r="GE140" s="5"/>
      <c r="GF140" s="5"/>
      <c r="GG140" s="5"/>
      <c r="GH140" s="5"/>
      <c r="GI140" s="5"/>
      <c r="GJ140" s="5"/>
      <c r="GK140" s="5"/>
      <c r="GL140" s="5"/>
      <c r="GM140" s="5"/>
      <c r="GN140" s="5"/>
      <c r="GO140" s="5"/>
      <c r="GP140" s="5"/>
      <c r="GQ140" s="5"/>
      <c r="GR140" s="5"/>
      <c r="GS140" s="5"/>
      <c r="GT140" s="5"/>
      <c r="GU140" s="5"/>
      <c r="GV140" s="5"/>
      <c r="GW140" s="5"/>
      <c r="GX140" s="5"/>
      <c r="GY140" s="5"/>
      <c r="GZ140" s="5"/>
      <c r="HA140" s="5"/>
      <c r="HB140" s="5"/>
      <c r="HC140" s="5"/>
      <c r="HD140" s="5"/>
      <c r="HE140" s="5"/>
      <c r="HF140" s="5"/>
      <c r="HG140" s="5"/>
      <c r="HH140" s="5"/>
      <c r="HI140" s="5"/>
      <c r="HJ140" s="5"/>
      <c r="HK140" s="5"/>
      <c r="HL140" s="5"/>
      <c r="HM140" s="5"/>
      <c r="HN140" s="5"/>
      <c r="HO140" s="5"/>
      <c r="HP140" s="5"/>
      <c r="HQ140" s="5"/>
      <c r="HR140" s="5"/>
      <c r="HS140" s="5"/>
      <c r="HT140" s="5"/>
      <c r="HU140" s="5"/>
      <c r="HV140" s="5"/>
      <c r="HW140" s="5"/>
      <c r="HX140" s="5"/>
      <c r="HY140" s="5"/>
      <c r="HZ140" s="5"/>
      <c r="IA140" s="5"/>
      <c r="IB140" s="5"/>
      <c r="IC140" s="5"/>
      <c r="ID140" s="5"/>
      <c r="IE140" s="5"/>
      <c r="IF140" s="5"/>
      <c r="IG140" s="5"/>
      <c r="IH140" s="5"/>
      <c r="II140" s="5"/>
      <c r="IJ140" s="5"/>
      <c r="IK140" s="5"/>
      <c r="IL140" s="5"/>
      <c r="IM140" s="5"/>
      <c r="IN140" s="5"/>
      <c r="IO140" s="5"/>
      <c r="IP140" s="5"/>
      <c r="IQ140" s="5"/>
      <c r="IR140" s="5"/>
      <c r="IS140" s="5"/>
      <c r="IT140" s="5"/>
      <c r="IU140" s="5"/>
      <c r="IV140" s="5"/>
    </row>
    <row r="141" spans="1:256" s="50" customFormat="1" ht="13.5" customHeight="1">
      <c r="A141" s="400"/>
      <c r="B141" s="401"/>
      <c r="C141" s="401" t="s">
        <v>32</v>
      </c>
      <c r="D141" s="401" t="s">
        <v>33</v>
      </c>
      <c r="E141" s="401"/>
      <c r="F141" s="80"/>
      <c r="G141" s="81"/>
      <c r="H141" s="81">
        <f>SUM(H142:H165)</f>
        <v>0</v>
      </c>
      <c r="I141" s="82"/>
      <c r="J141" s="46"/>
      <c r="K141" s="83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</row>
    <row r="142" spans="1:256" s="207" customFormat="1" ht="27" customHeight="1">
      <c r="A142" s="340">
        <v>26</v>
      </c>
      <c r="B142" s="354" t="s">
        <v>34</v>
      </c>
      <c r="C142" s="335" t="s">
        <v>362</v>
      </c>
      <c r="D142" s="335" t="s">
        <v>363</v>
      </c>
      <c r="E142" s="335" t="s">
        <v>49</v>
      </c>
      <c r="F142" s="337">
        <f>SUM(F143:F143)</f>
        <v>1</v>
      </c>
      <c r="G142" s="304"/>
      <c r="H142" s="304">
        <f>F142*G142</f>
        <v>0</v>
      </c>
      <c r="I142" s="72" t="s">
        <v>57</v>
      </c>
    </row>
    <row r="143" spans="1:256" s="215" customFormat="1" ht="27" customHeight="1">
      <c r="A143" s="340"/>
      <c r="B143" s="354"/>
      <c r="C143" s="335"/>
      <c r="D143" s="336" t="s">
        <v>364</v>
      </c>
      <c r="E143" s="335"/>
      <c r="F143" s="341">
        <v>1</v>
      </c>
      <c r="G143" s="304"/>
      <c r="H143" s="304"/>
      <c r="I143" s="356"/>
      <c r="J143" s="299"/>
      <c r="K143" s="299"/>
      <c r="L143" s="299"/>
      <c r="M143" s="299"/>
      <c r="N143" s="299"/>
      <c r="O143" s="299"/>
      <c r="P143" s="299"/>
      <c r="Q143" s="299"/>
      <c r="R143" s="299"/>
      <c r="S143" s="299"/>
      <c r="T143" s="299"/>
      <c r="U143" s="299"/>
      <c r="V143" s="299"/>
      <c r="W143" s="299"/>
      <c r="X143" s="299"/>
      <c r="Y143" s="299"/>
      <c r="Z143" s="299"/>
      <c r="AA143" s="299"/>
      <c r="AB143" s="299"/>
      <c r="AC143" s="299"/>
      <c r="AD143" s="299"/>
      <c r="AE143" s="299"/>
      <c r="AF143" s="299"/>
      <c r="AG143" s="299"/>
      <c r="AH143" s="299"/>
      <c r="AI143" s="299"/>
      <c r="AJ143" s="299"/>
      <c r="AK143" s="299"/>
      <c r="AL143" s="299"/>
      <c r="AM143" s="299"/>
      <c r="AN143" s="299"/>
      <c r="AO143" s="299"/>
      <c r="AP143" s="299"/>
      <c r="AQ143" s="299"/>
      <c r="AR143" s="299"/>
      <c r="AS143" s="299"/>
      <c r="AT143" s="299"/>
      <c r="AU143" s="299"/>
      <c r="AV143" s="299"/>
      <c r="AW143" s="299"/>
      <c r="AX143" s="299"/>
      <c r="AY143" s="299"/>
      <c r="AZ143" s="299"/>
      <c r="BA143" s="299"/>
      <c r="BB143" s="299"/>
      <c r="BC143" s="299"/>
      <c r="BD143" s="299"/>
      <c r="BE143" s="299"/>
      <c r="BF143" s="299"/>
      <c r="BG143" s="299"/>
      <c r="BH143" s="299"/>
      <c r="BI143" s="299"/>
      <c r="BJ143" s="299"/>
      <c r="BK143" s="299"/>
      <c r="BL143" s="299"/>
      <c r="BM143" s="299"/>
      <c r="BN143" s="299"/>
      <c r="BO143" s="299"/>
      <c r="BP143" s="299"/>
      <c r="BQ143" s="299"/>
      <c r="BR143" s="299"/>
      <c r="BS143" s="299"/>
      <c r="BT143" s="299"/>
      <c r="BU143" s="299"/>
      <c r="BV143" s="299"/>
      <c r="BW143" s="299"/>
      <c r="BX143" s="299"/>
      <c r="BY143" s="299"/>
      <c r="BZ143" s="299"/>
      <c r="CA143" s="299"/>
      <c r="CB143" s="299"/>
      <c r="CC143" s="299"/>
      <c r="CD143" s="299"/>
      <c r="CE143" s="299"/>
      <c r="CF143" s="299"/>
      <c r="CG143" s="299"/>
      <c r="CH143" s="299"/>
      <c r="CI143" s="299"/>
      <c r="CJ143" s="299"/>
      <c r="CK143" s="299"/>
      <c r="CL143" s="299"/>
      <c r="CM143" s="299"/>
      <c r="CN143" s="299"/>
      <c r="CO143" s="299"/>
      <c r="CP143" s="299"/>
      <c r="CQ143" s="299"/>
      <c r="CR143" s="299"/>
      <c r="CS143" s="299"/>
      <c r="CT143" s="299"/>
      <c r="CU143" s="299"/>
      <c r="CV143" s="299"/>
      <c r="CW143" s="299"/>
    </row>
    <row r="144" spans="1:256" s="215" customFormat="1" ht="27" customHeight="1">
      <c r="A144" s="340"/>
      <c r="B144" s="354"/>
      <c r="C144" s="335"/>
      <c r="D144" s="336" t="s">
        <v>365</v>
      </c>
      <c r="E144" s="335"/>
      <c r="F144" s="341"/>
      <c r="G144" s="304"/>
      <c r="H144" s="304"/>
      <c r="I144" s="356"/>
      <c r="J144" s="299"/>
      <c r="K144" s="299"/>
      <c r="L144" s="299"/>
      <c r="M144" s="299"/>
      <c r="N144" s="299"/>
      <c r="O144" s="299"/>
      <c r="P144" s="299"/>
      <c r="Q144" s="299"/>
      <c r="R144" s="299"/>
      <c r="S144" s="299"/>
      <c r="T144" s="299"/>
      <c r="U144" s="299"/>
      <c r="V144" s="299"/>
      <c r="W144" s="299"/>
      <c r="X144" s="299"/>
      <c r="Y144" s="299"/>
      <c r="Z144" s="299"/>
      <c r="AA144" s="299"/>
      <c r="AB144" s="299"/>
      <c r="AC144" s="299"/>
      <c r="AD144" s="299"/>
      <c r="AE144" s="299"/>
      <c r="AF144" s="299"/>
      <c r="AG144" s="299"/>
      <c r="AH144" s="299"/>
      <c r="AI144" s="299"/>
      <c r="AJ144" s="299"/>
      <c r="AK144" s="299"/>
      <c r="AL144" s="299"/>
      <c r="AM144" s="299"/>
      <c r="AN144" s="299"/>
      <c r="AO144" s="299"/>
      <c r="AP144" s="299"/>
      <c r="AQ144" s="299"/>
      <c r="AR144" s="299"/>
      <c r="AS144" s="299"/>
      <c r="AT144" s="299"/>
      <c r="AU144" s="299"/>
      <c r="AV144" s="299"/>
      <c r="AW144" s="299"/>
      <c r="AX144" s="299"/>
      <c r="AY144" s="299"/>
      <c r="AZ144" s="299"/>
      <c r="BA144" s="299"/>
      <c r="BB144" s="299"/>
      <c r="BC144" s="299"/>
      <c r="BD144" s="299"/>
      <c r="BE144" s="299"/>
      <c r="BF144" s="299"/>
      <c r="BG144" s="299"/>
      <c r="BH144" s="299"/>
      <c r="BI144" s="299"/>
      <c r="BJ144" s="299"/>
      <c r="BK144" s="299"/>
      <c r="BL144" s="299"/>
      <c r="BM144" s="299"/>
      <c r="BN144" s="299"/>
      <c r="BO144" s="299"/>
      <c r="BP144" s="299"/>
      <c r="BQ144" s="299"/>
      <c r="BR144" s="299"/>
      <c r="BS144" s="299"/>
      <c r="BT144" s="299"/>
      <c r="BU144" s="299"/>
      <c r="BV144" s="299"/>
      <c r="BW144" s="299"/>
      <c r="BX144" s="299"/>
      <c r="BY144" s="299"/>
      <c r="BZ144" s="299"/>
      <c r="CA144" s="299"/>
      <c r="CB144" s="299"/>
      <c r="CC144" s="299"/>
      <c r="CD144" s="299"/>
      <c r="CE144" s="299"/>
      <c r="CF144" s="299"/>
      <c r="CG144" s="299"/>
      <c r="CH144" s="299"/>
      <c r="CI144" s="299"/>
      <c r="CJ144" s="299"/>
      <c r="CK144" s="299"/>
      <c r="CL144" s="299"/>
      <c r="CM144" s="299"/>
      <c r="CN144" s="299"/>
      <c r="CO144" s="299"/>
      <c r="CP144" s="299"/>
      <c r="CQ144" s="299"/>
      <c r="CR144" s="299"/>
      <c r="CS144" s="299"/>
      <c r="CT144" s="299"/>
      <c r="CU144" s="299"/>
      <c r="CV144" s="299"/>
      <c r="CW144" s="299"/>
    </row>
    <row r="145" spans="1:101" s="215" customFormat="1" ht="13.5" customHeight="1">
      <c r="A145" s="340"/>
      <c r="B145" s="354"/>
      <c r="C145" s="335"/>
      <c r="D145" s="336" t="s">
        <v>366</v>
      </c>
      <c r="E145" s="335"/>
      <c r="F145" s="341"/>
      <c r="G145" s="304"/>
      <c r="H145" s="304"/>
      <c r="I145" s="356"/>
      <c r="J145" s="299"/>
      <c r="K145" s="299"/>
      <c r="L145" s="299"/>
      <c r="M145" s="299"/>
      <c r="N145" s="299"/>
      <c r="O145" s="299"/>
      <c r="P145" s="299"/>
      <c r="Q145" s="299"/>
      <c r="R145" s="299"/>
      <c r="S145" s="299"/>
      <c r="T145" s="299"/>
      <c r="U145" s="299"/>
      <c r="V145" s="299"/>
      <c r="W145" s="299"/>
      <c r="X145" s="299"/>
      <c r="Y145" s="299"/>
      <c r="Z145" s="299"/>
      <c r="AA145" s="299"/>
      <c r="AB145" s="299"/>
      <c r="AC145" s="299"/>
      <c r="AD145" s="299"/>
      <c r="AE145" s="299"/>
      <c r="AF145" s="299"/>
      <c r="AG145" s="299"/>
      <c r="AH145" s="299"/>
      <c r="AI145" s="299"/>
      <c r="AJ145" s="299"/>
      <c r="AK145" s="299"/>
      <c r="AL145" s="299"/>
      <c r="AM145" s="299"/>
      <c r="AN145" s="299"/>
      <c r="AO145" s="299"/>
      <c r="AP145" s="299"/>
      <c r="AQ145" s="299"/>
      <c r="AR145" s="299"/>
      <c r="AS145" s="299"/>
      <c r="AT145" s="299"/>
      <c r="AU145" s="299"/>
      <c r="AV145" s="299"/>
      <c r="AW145" s="299"/>
      <c r="AX145" s="299"/>
      <c r="AY145" s="299"/>
      <c r="AZ145" s="299"/>
      <c r="BA145" s="299"/>
      <c r="BB145" s="299"/>
      <c r="BC145" s="299"/>
      <c r="BD145" s="299"/>
      <c r="BE145" s="299"/>
      <c r="BF145" s="299"/>
      <c r="BG145" s="299"/>
      <c r="BH145" s="299"/>
      <c r="BI145" s="299"/>
      <c r="BJ145" s="299"/>
      <c r="BK145" s="299"/>
      <c r="BL145" s="299"/>
      <c r="BM145" s="299"/>
      <c r="BN145" s="299"/>
      <c r="BO145" s="299"/>
      <c r="BP145" s="299"/>
      <c r="BQ145" s="299"/>
      <c r="BR145" s="299"/>
      <c r="BS145" s="299"/>
      <c r="BT145" s="299"/>
      <c r="BU145" s="299"/>
      <c r="BV145" s="299"/>
      <c r="BW145" s="299"/>
      <c r="BX145" s="299"/>
      <c r="BY145" s="299"/>
      <c r="BZ145" s="299"/>
      <c r="CA145" s="299"/>
      <c r="CB145" s="299"/>
      <c r="CC145" s="299"/>
      <c r="CD145" s="299"/>
      <c r="CE145" s="299"/>
      <c r="CF145" s="299"/>
      <c r="CG145" s="299"/>
      <c r="CH145" s="299"/>
      <c r="CI145" s="299"/>
      <c r="CJ145" s="299"/>
      <c r="CK145" s="299"/>
      <c r="CL145" s="299"/>
      <c r="CM145" s="299"/>
      <c r="CN145" s="299"/>
      <c r="CO145" s="299"/>
      <c r="CP145" s="299"/>
      <c r="CQ145" s="299"/>
      <c r="CR145" s="299"/>
      <c r="CS145" s="299"/>
      <c r="CT145" s="299"/>
      <c r="CU145" s="299"/>
      <c r="CV145" s="299"/>
      <c r="CW145" s="299"/>
    </row>
    <row r="146" spans="1:101" s="91" customFormat="1" ht="26.25" customHeight="1">
      <c r="A146" s="84">
        <v>27</v>
      </c>
      <c r="B146" s="85" t="s">
        <v>34</v>
      </c>
      <c r="C146" s="86">
        <v>949101111</v>
      </c>
      <c r="D146" s="87" t="s">
        <v>35</v>
      </c>
      <c r="E146" s="87" t="s">
        <v>30</v>
      </c>
      <c r="F146" s="88">
        <f>SUM(F148:F153)</f>
        <v>174.34</v>
      </c>
      <c r="G146" s="89"/>
      <c r="H146" s="90">
        <f>F146*G146</f>
        <v>0</v>
      </c>
      <c r="I146" s="72" t="s">
        <v>31</v>
      </c>
      <c r="J146" s="380"/>
      <c r="K146" s="380"/>
      <c r="L146" s="380"/>
      <c r="M146" s="383"/>
    </row>
    <row r="147" spans="1:101" s="91" customFormat="1" ht="13.5" customHeight="1">
      <c r="A147" s="84"/>
      <c r="B147" s="85"/>
      <c r="C147" s="86"/>
      <c r="D147" s="92" t="s">
        <v>176</v>
      </c>
      <c r="E147" s="87"/>
      <c r="F147" s="88"/>
      <c r="G147" s="89"/>
      <c r="H147" s="90"/>
      <c r="I147" s="72"/>
      <c r="J147" s="93"/>
    </row>
    <row r="148" spans="1:101" s="91" customFormat="1" ht="13.5" customHeight="1">
      <c r="A148" s="84"/>
      <c r="B148" s="85"/>
      <c r="C148" s="86"/>
      <c r="D148" s="92" t="s">
        <v>177</v>
      </c>
      <c r="E148" s="87"/>
      <c r="F148" s="94">
        <f>6.01+3.88+1.96</f>
        <v>11.850000000000001</v>
      </c>
      <c r="G148" s="89"/>
      <c r="H148" s="90"/>
      <c r="I148" s="72"/>
      <c r="J148" s="93"/>
    </row>
    <row r="149" spans="1:101" s="91" customFormat="1" ht="27" customHeight="1">
      <c r="A149" s="84"/>
      <c r="B149" s="85"/>
      <c r="C149" s="86"/>
      <c r="D149" s="92" t="s">
        <v>178</v>
      </c>
      <c r="E149" s="87"/>
      <c r="F149" s="94">
        <f>3.85+2.86+5.52+16.39+5.8+4.61+2.28+3.71</f>
        <v>45.02</v>
      </c>
      <c r="G149" s="89"/>
      <c r="H149" s="90"/>
      <c r="I149" s="72"/>
      <c r="J149" s="357"/>
    </row>
    <row r="150" spans="1:101" s="91" customFormat="1" ht="27" customHeight="1">
      <c r="A150" s="84"/>
      <c r="B150" s="85"/>
      <c r="C150" s="86"/>
      <c r="D150" s="92" t="s">
        <v>179</v>
      </c>
      <c r="E150" s="87"/>
      <c r="F150" s="94">
        <f>16.4+4.51+1.49+4.62+5.8+3.61+2.72+5.33</f>
        <v>44.47999999999999</v>
      </c>
      <c r="G150" s="89"/>
      <c r="H150" s="90"/>
      <c r="I150" s="72"/>
      <c r="J150" s="93"/>
    </row>
    <row r="151" spans="1:101" s="91" customFormat="1" ht="27" customHeight="1">
      <c r="A151" s="84"/>
      <c r="B151" s="85"/>
      <c r="C151" s="86"/>
      <c r="D151" s="92" t="s">
        <v>180</v>
      </c>
      <c r="E151" s="87"/>
      <c r="F151" s="94">
        <f>6.81+5.54+17.38+4.83+6.55+2.08+3.34</f>
        <v>46.529999999999987</v>
      </c>
      <c r="G151" s="89"/>
      <c r="H151" s="90"/>
      <c r="I151" s="72"/>
      <c r="J151" s="93"/>
    </row>
    <row r="152" spans="1:101" s="91" customFormat="1" ht="13.5" customHeight="1">
      <c r="A152" s="84"/>
      <c r="B152" s="85"/>
      <c r="C152" s="86"/>
      <c r="D152" s="92" t="s">
        <v>181</v>
      </c>
      <c r="E152" s="87"/>
      <c r="F152" s="94">
        <f>1.95+3.33+3.22+7.2+2.96</f>
        <v>18.66</v>
      </c>
      <c r="G152" s="89"/>
      <c r="H152" s="90"/>
      <c r="I152" s="72"/>
      <c r="J152" s="93"/>
    </row>
    <row r="153" spans="1:101" s="91" customFormat="1" ht="13.5" customHeight="1">
      <c r="A153" s="84"/>
      <c r="B153" s="85"/>
      <c r="C153" s="86"/>
      <c r="D153" s="92" t="s">
        <v>182</v>
      </c>
      <c r="E153" s="87"/>
      <c r="F153" s="94">
        <f>4.34+3.46</f>
        <v>7.8</v>
      </c>
      <c r="G153" s="89"/>
      <c r="H153" s="90"/>
      <c r="I153" s="72"/>
      <c r="J153" s="93"/>
    </row>
    <row r="154" spans="1:101" s="50" customFormat="1" ht="13.5" customHeight="1">
      <c r="A154" s="95"/>
      <c r="B154" s="96"/>
      <c r="C154" s="96"/>
      <c r="D154" s="97" t="s">
        <v>36</v>
      </c>
      <c r="E154" s="96"/>
      <c r="F154" s="94"/>
      <c r="G154" s="98"/>
      <c r="H154" s="99"/>
      <c r="I154" s="82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</row>
    <row r="155" spans="1:101" s="73" customFormat="1" ht="13.5" customHeight="1">
      <c r="A155" s="67">
        <v>28</v>
      </c>
      <c r="B155" s="68" t="s">
        <v>34</v>
      </c>
      <c r="C155" s="69">
        <v>952901111</v>
      </c>
      <c r="D155" s="69" t="s">
        <v>37</v>
      </c>
      <c r="E155" s="69" t="s">
        <v>30</v>
      </c>
      <c r="F155" s="100">
        <f>SUM(F157:F163)</f>
        <v>374.34000000000003</v>
      </c>
      <c r="G155" s="71"/>
      <c r="H155" s="71">
        <f>F155*G155</f>
        <v>0</v>
      </c>
      <c r="I155" s="101" t="s">
        <v>31</v>
      </c>
      <c r="J155" s="207"/>
      <c r="K155" s="207"/>
      <c r="L155" s="207"/>
      <c r="M155" s="207"/>
      <c r="N155" s="207"/>
      <c r="O155" s="207"/>
      <c r="P155" s="207"/>
      <c r="Q155" s="207"/>
      <c r="R155" s="207"/>
      <c r="S155" s="207"/>
      <c r="T155" s="207"/>
      <c r="U155" s="207"/>
      <c r="V155" s="207"/>
      <c r="W155" s="207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/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  <c r="BI155" s="207"/>
      <c r="BJ155" s="207"/>
      <c r="BK155" s="207"/>
      <c r="BL155" s="207"/>
      <c r="BM155" s="207"/>
    </row>
    <row r="156" spans="1:101" s="73" customFormat="1" ht="13.5" customHeight="1">
      <c r="A156" s="67"/>
      <c r="B156" s="68"/>
      <c r="C156" s="69"/>
      <c r="D156" s="102" t="s">
        <v>183</v>
      </c>
      <c r="E156" s="69"/>
      <c r="F156" s="103"/>
      <c r="G156" s="71"/>
      <c r="H156" s="71"/>
      <c r="I156" s="101"/>
      <c r="J156" s="209"/>
      <c r="K156" s="207"/>
      <c r="L156" s="207"/>
      <c r="M156" s="207"/>
      <c r="N156" s="207"/>
      <c r="O156" s="207"/>
      <c r="P156" s="207"/>
      <c r="Q156" s="207"/>
      <c r="R156" s="207"/>
      <c r="S156" s="207"/>
      <c r="T156" s="207"/>
      <c r="U156" s="207"/>
      <c r="V156" s="207"/>
      <c r="W156" s="207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/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  <c r="BI156" s="207"/>
      <c r="BJ156" s="207"/>
      <c r="BK156" s="207"/>
      <c r="BL156" s="207"/>
      <c r="BM156" s="207"/>
    </row>
    <row r="157" spans="1:101" s="91" customFormat="1" ht="13.5" customHeight="1">
      <c r="A157" s="84"/>
      <c r="B157" s="85"/>
      <c r="C157" s="86"/>
      <c r="D157" s="92" t="s">
        <v>184</v>
      </c>
      <c r="E157" s="87"/>
      <c r="F157" s="94">
        <f>6.01+3.88+1.96</f>
        <v>11.850000000000001</v>
      </c>
      <c r="G157" s="89"/>
      <c r="H157" s="90"/>
      <c r="I157" s="72"/>
      <c r="J157" s="93"/>
    </row>
    <row r="158" spans="1:101" s="91" customFormat="1" ht="27" customHeight="1">
      <c r="A158" s="84"/>
      <c r="B158" s="85"/>
      <c r="C158" s="86"/>
      <c r="D158" s="92" t="s">
        <v>185</v>
      </c>
      <c r="E158" s="87"/>
      <c r="F158" s="94">
        <f>3.85+2.86+5.52+16.39+5.8+4.61+2.28+3.71</f>
        <v>45.02</v>
      </c>
      <c r="G158" s="89"/>
      <c r="H158" s="90"/>
      <c r="I158" s="72"/>
      <c r="J158" s="93"/>
    </row>
    <row r="159" spans="1:101" s="91" customFormat="1" ht="27" customHeight="1">
      <c r="A159" s="84"/>
      <c r="B159" s="85"/>
      <c r="C159" s="86"/>
      <c r="D159" s="92" t="s">
        <v>186</v>
      </c>
      <c r="E159" s="87"/>
      <c r="F159" s="94">
        <f>16.4+4.51+1.49+4.62+5.8+3.61+2.72+5.33</f>
        <v>44.47999999999999</v>
      </c>
      <c r="G159" s="89"/>
      <c r="H159" s="90"/>
      <c r="I159" s="72"/>
      <c r="J159" s="93"/>
    </row>
    <row r="160" spans="1:101" s="91" customFormat="1" ht="27" customHeight="1">
      <c r="A160" s="84"/>
      <c r="B160" s="85"/>
      <c r="C160" s="86"/>
      <c r="D160" s="92" t="s">
        <v>187</v>
      </c>
      <c r="E160" s="87"/>
      <c r="F160" s="94">
        <f>6.81+5.54+17.38+4.83+6.55+2.08+3.34</f>
        <v>46.529999999999987</v>
      </c>
      <c r="G160" s="89"/>
      <c r="H160" s="90"/>
      <c r="I160" s="72"/>
      <c r="J160" s="93"/>
    </row>
    <row r="161" spans="1:256" s="91" customFormat="1" ht="13.5" customHeight="1">
      <c r="A161" s="84"/>
      <c r="B161" s="85"/>
      <c r="C161" s="86"/>
      <c r="D161" s="92" t="s">
        <v>188</v>
      </c>
      <c r="E161" s="87"/>
      <c r="F161" s="94">
        <f>1.95+3.33+3.22+7.2+2.96</f>
        <v>18.66</v>
      </c>
      <c r="G161" s="89"/>
      <c r="H161" s="90"/>
      <c r="I161" s="72"/>
      <c r="J161" s="93"/>
    </row>
    <row r="162" spans="1:256" s="91" customFormat="1" ht="13.5" customHeight="1">
      <c r="A162" s="84"/>
      <c r="B162" s="85"/>
      <c r="C162" s="86"/>
      <c r="D162" s="92" t="s">
        <v>189</v>
      </c>
      <c r="E162" s="87"/>
      <c r="F162" s="94">
        <f>4.34+3.46</f>
        <v>7.8</v>
      </c>
      <c r="G162" s="89"/>
      <c r="H162" s="90"/>
      <c r="I162" s="72"/>
      <c r="J162" s="93"/>
    </row>
    <row r="163" spans="1:256" s="73" customFormat="1" ht="13.5" customHeight="1">
      <c r="A163" s="67"/>
      <c r="B163" s="68"/>
      <c r="C163" s="69"/>
      <c r="D163" s="102" t="s">
        <v>190</v>
      </c>
      <c r="E163" s="69"/>
      <c r="F163" s="103">
        <v>200</v>
      </c>
      <c r="G163" s="71"/>
      <c r="H163" s="71"/>
      <c r="I163" s="101"/>
      <c r="J163" s="209"/>
      <c r="K163" s="207"/>
      <c r="L163" s="207"/>
      <c r="M163" s="207"/>
      <c r="N163" s="207"/>
      <c r="O163" s="207"/>
      <c r="P163" s="207"/>
      <c r="Q163" s="207"/>
      <c r="R163" s="207"/>
      <c r="S163" s="207"/>
      <c r="T163" s="207"/>
      <c r="U163" s="207"/>
      <c r="V163" s="207"/>
      <c r="W163" s="207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/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  <c r="BI163" s="207"/>
      <c r="BJ163" s="207"/>
      <c r="BK163" s="207"/>
      <c r="BL163" s="207"/>
      <c r="BM163" s="207"/>
    </row>
    <row r="164" spans="1:256" s="13" customFormat="1" ht="13.5" customHeight="1">
      <c r="A164" s="67">
        <v>29</v>
      </c>
      <c r="B164" s="68" t="s">
        <v>42</v>
      </c>
      <c r="C164" s="69" t="s">
        <v>43</v>
      </c>
      <c r="D164" s="69" t="s">
        <v>191</v>
      </c>
      <c r="E164" s="69" t="s">
        <v>44</v>
      </c>
      <c r="F164" s="100">
        <f>F165</f>
        <v>0.14099999999999999</v>
      </c>
      <c r="G164" s="134">
        <f>SUM(H166:H169)/F164</f>
        <v>0</v>
      </c>
      <c r="H164" s="71">
        <f>F164*G164</f>
        <v>0</v>
      </c>
      <c r="I164" s="135" t="s">
        <v>39</v>
      </c>
      <c r="J164" s="317"/>
      <c r="K164" s="207"/>
      <c r="L164" s="207"/>
      <c r="M164" s="207"/>
      <c r="N164" s="207"/>
      <c r="O164" s="207"/>
      <c r="P164" s="207"/>
      <c r="Q164" s="207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38"/>
      <c r="AL164" s="38"/>
      <c r="AM164" s="38"/>
      <c r="AN164" s="38"/>
      <c r="AO164" s="38"/>
      <c r="AP164" s="38"/>
      <c r="AQ164" s="38"/>
      <c r="AR164" s="38"/>
      <c r="AS164" s="38"/>
      <c r="AT164" s="38"/>
      <c r="AU164" s="38"/>
      <c r="AV164" s="38"/>
      <c r="AW164" s="38"/>
      <c r="AX164" s="38"/>
      <c r="AY164" s="38"/>
      <c r="AZ164" s="38"/>
      <c r="BA164" s="38"/>
      <c r="BB164" s="38"/>
      <c r="BC164" s="38"/>
      <c r="BD164" s="38"/>
      <c r="BE164" s="38"/>
      <c r="BF164" s="38"/>
      <c r="BG164" s="38"/>
      <c r="BH164" s="38"/>
      <c r="BI164" s="38"/>
      <c r="BJ164" s="38"/>
      <c r="BK164" s="38"/>
      <c r="BL164" s="38"/>
      <c r="BM164" s="38"/>
      <c r="BN164" s="38"/>
      <c r="BO164" s="38"/>
      <c r="BP164" s="38"/>
      <c r="BQ164" s="38"/>
      <c r="BR164" s="38"/>
      <c r="BS164" s="38"/>
      <c r="BT164" s="38"/>
      <c r="BU164" s="38"/>
      <c r="BV164" s="38"/>
      <c r="BW164" s="38"/>
      <c r="BX164" s="38"/>
      <c r="BY164" s="38"/>
      <c r="BZ164" s="38"/>
      <c r="CA164" s="38"/>
      <c r="CB164" s="38"/>
      <c r="CC164" s="38"/>
      <c r="CD164" s="38"/>
      <c r="CE164" s="38"/>
      <c r="CF164" s="38"/>
      <c r="CG164" s="38"/>
      <c r="CH164" s="38"/>
      <c r="CI164" s="38"/>
      <c r="CJ164" s="38"/>
      <c r="CK164" s="38"/>
      <c r="CL164" s="38"/>
      <c r="CM164" s="38"/>
      <c r="CN164" s="38"/>
      <c r="CO164" s="38"/>
      <c r="CP164" s="38"/>
      <c r="CQ164" s="38"/>
      <c r="CR164" s="38"/>
      <c r="CS164" s="38"/>
      <c r="CT164" s="38"/>
      <c r="CU164" s="38"/>
      <c r="CV164" s="38"/>
      <c r="CW164" s="38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  <c r="HN164" s="3"/>
      <c r="HO164" s="3"/>
      <c r="HP164" s="3"/>
      <c r="HQ164" s="3"/>
      <c r="HR164" s="3"/>
      <c r="HS164" s="3"/>
      <c r="HT164" s="3"/>
      <c r="HU164" s="3"/>
      <c r="HV164" s="3"/>
      <c r="HW164" s="3"/>
      <c r="HX164" s="3"/>
      <c r="HY164" s="3"/>
      <c r="HZ164" s="3"/>
      <c r="IA164" s="3"/>
      <c r="IB164" s="3"/>
      <c r="IC164" s="3"/>
      <c r="ID164" s="3"/>
      <c r="IE164" s="3"/>
      <c r="IF164" s="3"/>
      <c r="IG164" s="3"/>
      <c r="IH164" s="3"/>
      <c r="II164" s="3"/>
      <c r="IJ164" s="3"/>
      <c r="IK164" s="3"/>
      <c r="IL164" s="3"/>
      <c r="IM164" s="3"/>
      <c r="IN164" s="3"/>
      <c r="IO164" s="3"/>
      <c r="IP164" s="3"/>
      <c r="IQ164" s="3"/>
      <c r="IR164" s="3"/>
      <c r="IS164" s="3"/>
      <c r="IT164" s="3"/>
      <c r="IU164" s="3"/>
      <c r="IV164" s="3"/>
    </row>
    <row r="165" spans="1:256" s="13" customFormat="1" ht="13.5" customHeight="1">
      <c r="A165" s="112"/>
      <c r="B165" s="113"/>
      <c r="C165" s="114"/>
      <c r="D165" s="76" t="s">
        <v>396</v>
      </c>
      <c r="E165" s="76"/>
      <c r="F165" s="374">
        <f>0.141</f>
        <v>0.14099999999999999</v>
      </c>
      <c r="G165" s="136"/>
      <c r="H165" s="137"/>
      <c r="I165" s="72"/>
      <c r="J165" s="299"/>
      <c r="K165" s="139"/>
      <c r="L165" s="139"/>
      <c r="M165" s="139"/>
      <c r="N165" s="139"/>
      <c r="O165" s="139"/>
      <c r="P165" s="139"/>
      <c r="Q165" s="299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38"/>
      <c r="AL165" s="38"/>
      <c r="AM165" s="38"/>
      <c r="AN165" s="38"/>
      <c r="AO165" s="38"/>
      <c r="AP165" s="38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BG165" s="38"/>
      <c r="BH165" s="38"/>
      <c r="BI165" s="38"/>
      <c r="BJ165" s="38"/>
      <c r="BK165" s="38"/>
      <c r="BL165" s="38"/>
      <c r="BM165" s="38"/>
      <c r="BN165" s="38"/>
      <c r="BO165" s="38"/>
      <c r="BP165" s="38"/>
      <c r="BQ165" s="38"/>
      <c r="BR165" s="38"/>
      <c r="BS165" s="38"/>
      <c r="BT165" s="38"/>
      <c r="BU165" s="38"/>
      <c r="BV165" s="38"/>
      <c r="BW165" s="38"/>
      <c r="BX165" s="38"/>
      <c r="BY165" s="38"/>
      <c r="BZ165" s="38"/>
      <c r="CA165" s="38"/>
      <c r="CB165" s="38"/>
      <c r="CC165" s="38"/>
      <c r="CD165" s="38"/>
      <c r="CE165" s="38"/>
      <c r="CF165" s="38"/>
      <c r="CG165" s="38"/>
      <c r="CH165" s="38"/>
      <c r="CI165" s="38"/>
      <c r="CJ165" s="38"/>
      <c r="CK165" s="38"/>
      <c r="CL165" s="38"/>
      <c r="CM165" s="38"/>
      <c r="CN165" s="38"/>
      <c r="CO165" s="38"/>
      <c r="CP165" s="38"/>
      <c r="CQ165" s="38"/>
      <c r="CR165" s="38"/>
      <c r="CS165" s="38"/>
      <c r="CT165" s="38"/>
      <c r="CU165" s="38"/>
      <c r="CV165" s="38"/>
      <c r="CW165" s="38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  <c r="HN165" s="3"/>
      <c r="HO165" s="3"/>
      <c r="HP165" s="3"/>
      <c r="HQ165" s="3"/>
      <c r="HR165" s="3"/>
      <c r="HS165" s="3"/>
      <c r="HT165" s="3"/>
      <c r="HU165" s="3"/>
      <c r="HV165" s="3"/>
      <c r="HW165" s="3"/>
      <c r="HX165" s="3"/>
      <c r="HY165" s="3"/>
      <c r="HZ165" s="3"/>
      <c r="IA165" s="3"/>
      <c r="IB165" s="3"/>
      <c r="IC165" s="3"/>
      <c r="ID165" s="3"/>
      <c r="IE165" s="3"/>
      <c r="IF165" s="3"/>
      <c r="IG165" s="3"/>
      <c r="IH165" s="3"/>
      <c r="II165" s="3"/>
      <c r="IJ165" s="3"/>
      <c r="IK165" s="3"/>
      <c r="IL165" s="3"/>
      <c r="IM165" s="3"/>
      <c r="IN165" s="3"/>
      <c r="IO165" s="3"/>
      <c r="IP165" s="3"/>
      <c r="IQ165" s="3"/>
      <c r="IR165" s="3"/>
      <c r="IS165" s="3"/>
      <c r="IT165" s="3"/>
      <c r="IU165" s="3"/>
      <c r="IV165" s="3"/>
    </row>
    <row r="166" spans="1:256" s="13" customFormat="1" ht="27" customHeight="1">
      <c r="A166" s="140" t="s">
        <v>460</v>
      </c>
      <c r="B166" s="113"/>
      <c r="C166" s="114"/>
      <c r="D166" s="76" t="s">
        <v>192</v>
      </c>
      <c r="E166" s="76" t="s">
        <v>44</v>
      </c>
      <c r="F166" s="374">
        <f>F165</f>
        <v>0.14099999999999999</v>
      </c>
      <c r="G166" s="141"/>
      <c r="H166" s="342">
        <f>F166*G166</f>
        <v>0</v>
      </c>
      <c r="I166" s="138"/>
      <c r="J166" s="308"/>
      <c r="K166" s="139"/>
      <c r="L166" s="139"/>
      <c r="M166" s="139"/>
      <c r="N166" s="139"/>
      <c r="O166" s="139"/>
      <c r="P166" s="139"/>
      <c r="Q166" s="255"/>
      <c r="R166" s="207"/>
      <c r="S166" s="207"/>
      <c r="T166" s="207"/>
      <c r="U166" s="207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/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  <c r="BI166" s="207"/>
      <c r="BJ166" s="207"/>
      <c r="BK166" s="207"/>
      <c r="BL166" s="207"/>
      <c r="BM166" s="207"/>
      <c r="BN166" s="73"/>
      <c r="BO166" s="73"/>
      <c r="BP166" s="73"/>
      <c r="BQ166" s="73"/>
      <c r="BR166" s="73"/>
      <c r="BS166" s="73"/>
      <c r="BT166" s="73"/>
      <c r="BU166" s="73"/>
      <c r="BV166" s="73"/>
      <c r="BW166" s="73"/>
      <c r="BX166" s="73"/>
      <c r="BY166" s="73"/>
      <c r="BZ166" s="73"/>
      <c r="CA166" s="73"/>
      <c r="CB166" s="73"/>
      <c r="CC166" s="73"/>
      <c r="CD166" s="73"/>
      <c r="CE166" s="73"/>
      <c r="CF166" s="73"/>
      <c r="CG166" s="73"/>
      <c r="CH166" s="73"/>
      <c r="CI166" s="73"/>
      <c r="CJ166" s="73"/>
      <c r="CK166" s="73"/>
      <c r="CL166" s="73"/>
      <c r="CM166" s="73"/>
      <c r="CN166" s="73"/>
      <c r="CO166" s="73"/>
      <c r="CP166" s="73"/>
      <c r="CQ166" s="73"/>
      <c r="CR166" s="73"/>
      <c r="CS166" s="73"/>
      <c r="CT166" s="73"/>
      <c r="CU166" s="73"/>
      <c r="CV166" s="73"/>
      <c r="CW166" s="73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  <c r="IU166" s="8"/>
      <c r="IV166" s="8"/>
    </row>
    <row r="167" spans="1:256" s="13" customFormat="1" ht="13.5" customHeight="1">
      <c r="A167" s="140" t="s">
        <v>461</v>
      </c>
      <c r="B167" s="113"/>
      <c r="C167" s="114"/>
      <c r="D167" s="76" t="s">
        <v>45</v>
      </c>
      <c r="E167" s="76" t="s">
        <v>44</v>
      </c>
      <c r="F167" s="374">
        <f>F164</f>
        <v>0.14099999999999999</v>
      </c>
      <c r="G167" s="141"/>
      <c r="H167" s="342">
        <f>F167*G167</f>
        <v>0</v>
      </c>
      <c r="I167" s="145"/>
      <c r="J167" s="299"/>
      <c r="K167" s="139"/>
      <c r="L167" s="139"/>
      <c r="M167" s="139"/>
      <c r="N167" s="139"/>
      <c r="O167" s="139"/>
      <c r="P167" s="139"/>
      <c r="Q167" s="299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  <c r="BJ167" s="38"/>
      <c r="BK167" s="38"/>
      <c r="BL167" s="38"/>
      <c r="BM167" s="38"/>
      <c r="BN167" s="38"/>
      <c r="BO167" s="38"/>
      <c r="BP167" s="38"/>
      <c r="BQ167" s="38"/>
      <c r="BR167" s="38"/>
      <c r="BS167" s="38"/>
      <c r="BT167" s="38"/>
      <c r="BU167" s="38"/>
      <c r="BV167" s="38"/>
      <c r="BW167" s="38"/>
      <c r="BX167" s="38"/>
      <c r="BY167" s="38"/>
      <c r="BZ167" s="38"/>
      <c r="CA167" s="38"/>
      <c r="CB167" s="38"/>
      <c r="CC167" s="38"/>
      <c r="CD167" s="38"/>
      <c r="CE167" s="38"/>
      <c r="CF167" s="38"/>
      <c r="CG167" s="38"/>
      <c r="CH167" s="38"/>
      <c r="CI167" s="38"/>
      <c r="CJ167" s="38"/>
      <c r="CK167" s="38"/>
      <c r="CL167" s="38"/>
      <c r="CM167" s="38"/>
      <c r="CN167" s="38"/>
      <c r="CO167" s="38"/>
      <c r="CP167" s="38"/>
      <c r="CQ167" s="38"/>
      <c r="CR167" s="38"/>
      <c r="CS167" s="38"/>
      <c r="CT167" s="38"/>
      <c r="CU167" s="38"/>
      <c r="CV167" s="38"/>
      <c r="CW167" s="38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  <c r="HN167" s="3"/>
      <c r="HO167" s="3"/>
      <c r="HP167" s="3"/>
      <c r="HQ167" s="3"/>
      <c r="HR167" s="3"/>
      <c r="HS167" s="3"/>
      <c r="HT167" s="3"/>
      <c r="HU167" s="3"/>
      <c r="HV167" s="3"/>
      <c r="HW167" s="3"/>
      <c r="HX167" s="3"/>
      <c r="HY167" s="3"/>
      <c r="HZ167" s="3"/>
      <c r="IA167" s="3"/>
      <c r="IB167" s="3"/>
      <c r="IC167" s="3"/>
      <c r="ID167" s="3"/>
      <c r="IE167" s="3"/>
      <c r="IF167" s="3"/>
      <c r="IG167" s="3"/>
      <c r="IH167" s="3"/>
      <c r="II167" s="3"/>
      <c r="IJ167" s="3"/>
      <c r="IK167" s="3"/>
      <c r="IL167" s="3"/>
      <c r="IM167" s="3"/>
      <c r="IN167" s="3"/>
      <c r="IO167" s="3"/>
      <c r="IP167" s="3"/>
      <c r="IQ167" s="3"/>
      <c r="IR167" s="3"/>
      <c r="IS167" s="3"/>
      <c r="IT167" s="3"/>
      <c r="IU167" s="3"/>
      <c r="IV167" s="3"/>
    </row>
    <row r="168" spans="1:256" s="13" customFormat="1" ht="27" customHeight="1">
      <c r="A168" s="140" t="s">
        <v>462</v>
      </c>
      <c r="B168" s="113"/>
      <c r="C168" s="114"/>
      <c r="D168" s="76" t="s">
        <v>46</v>
      </c>
      <c r="E168" s="76" t="s">
        <v>44</v>
      </c>
      <c r="F168" s="374">
        <f>9*F165</f>
        <v>1.2689999999999999</v>
      </c>
      <c r="G168" s="141"/>
      <c r="H168" s="342">
        <f>F168*G168</f>
        <v>0</v>
      </c>
      <c r="I168" s="145"/>
      <c r="J168" s="299"/>
      <c r="K168" s="139"/>
      <c r="L168" s="139"/>
      <c r="M168" s="139"/>
      <c r="N168" s="139"/>
      <c r="O168" s="139"/>
      <c r="P168" s="139"/>
      <c r="Q168" s="299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38"/>
      <c r="AL168" s="38"/>
      <c r="AM168" s="38"/>
      <c r="AN168" s="38"/>
      <c r="AO168" s="38"/>
      <c r="AP168" s="38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BG168" s="38"/>
      <c r="BH168" s="38"/>
      <c r="BI168" s="38"/>
      <c r="BJ168" s="38"/>
      <c r="BK168" s="38"/>
      <c r="BL168" s="38"/>
      <c r="BM168" s="38"/>
      <c r="BN168" s="38"/>
      <c r="BO168" s="38"/>
      <c r="BP168" s="38"/>
      <c r="BQ168" s="38"/>
      <c r="BR168" s="38"/>
      <c r="BS168" s="38"/>
      <c r="BT168" s="38"/>
      <c r="BU168" s="38"/>
      <c r="BV168" s="38"/>
      <c r="BW168" s="38"/>
      <c r="BX168" s="38"/>
      <c r="BY168" s="38"/>
      <c r="BZ168" s="38"/>
      <c r="CA168" s="38"/>
      <c r="CB168" s="38"/>
      <c r="CC168" s="38"/>
      <c r="CD168" s="38"/>
      <c r="CE168" s="38"/>
      <c r="CF168" s="38"/>
      <c r="CG168" s="38"/>
      <c r="CH168" s="38"/>
      <c r="CI168" s="38"/>
      <c r="CJ168" s="38"/>
      <c r="CK168" s="38"/>
      <c r="CL168" s="38"/>
      <c r="CM168" s="38"/>
      <c r="CN168" s="38"/>
      <c r="CO168" s="38"/>
      <c r="CP168" s="38"/>
      <c r="CQ168" s="38"/>
      <c r="CR168" s="38"/>
      <c r="CS168" s="38"/>
      <c r="CT168" s="38"/>
      <c r="CU168" s="38"/>
      <c r="CV168" s="38"/>
      <c r="CW168" s="38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  <c r="HN168" s="3"/>
      <c r="HO168" s="3"/>
      <c r="HP168" s="3"/>
      <c r="HQ168" s="3"/>
      <c r="HR168" s="3"/>
      <c r="HS168" s="3"/>
      <c r="HT168" s="3"/>
      <c r="HU168" s="3"/>
      <c r="HV168" s="3"/>
      <c r="HW168" s="3"/>
      <c r="HX168" s="3"/>
      <c r="HY168" s="3"/>
      <c r="HZ168" s="3"/>
      <c r="IA168" s="3"/>
      <c r="IB168" s="3"/>
      <c r="IC168" s="3"/>
      <c r="ID168" s="3"/>
      <c r="IE168" s="3"/>
      <c r="IF168" s="3"/>
      <c r="IG168" s="3"/>
      <c r="IH168" s="3"/>
      <c r="II168" s="3"/>
      <c r="IJ168" s="3"/>
      <c r="IK168" s="3"/>
      <c r="IL168" s="3"/>
      <c r="IM168" s="3"/>
      <c r="IN168" s="3"/>
      <c r="IO168" s="3"/>
      <c r="IP168" s="3"/>
      <c r="IQ168" s="3"/>
      <c r="IR168" s="3"/>
      <c r="IS168" s="3"/>
      <c r="IT168" s="3"/>
      <c r="IU168" s="3"/>
      <c r="IV168" s="3"/>
    </row>
    <row r="169" spans="1:256" s="13" customFormat="1" ht="27" customHeight="1">
      <c r="A169" s="140" t="s">
        <v>463</v>
      </c>
      <c r="B169" s="113"/>
      <c r="C169" s="114"/>
      <c r="D169" s="76" t="s">
        <v>47</v>
      </c>
      <c r="E169" s="76" t="s">
        <v>44</v>
      </c>
      <c r="F169" s="374">
        <f>F167</f>
        <v>0.14099999999999999</v>
      </c>
      <c r="G169" s="141"/>
      <c r="H169" s="342">
        <f>F169*G169</f>
        <v>0</v>
      </c>
      <c r="I169" s="110"/>
      <c r="J169" s="299"/>
      <c r="K169" s="139"/>
      <c r="L169" s="139"/>
      <c r="M169" s="139"/>
      <c r="N169" s="139"/>
      <c r="O169" s="139"/>
      <c r="P169" s="139"/>
      <c r="Q169" s="299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BG169" s="38"/>
      <c r="BH169" s="38"/>
      <c r="BI169" s="38"/>
      <c r="BJ169" s="38"/>
      <c r="BK169" s="38"/>
      <c r="BL169" s="38"/>
      <c r="BM169" s="38"/>
      <c r="BN169" s="38"/>
      <c r="BO169" s="38"/>
      <c r="BP169" s="38"/>
      <c r="BQ169" s="38"/>
      <c r="BR169" s="38"/>
      <c r="BS169" s="38"/>
      <c r="BT169" s="38"/>
      <c r="BU169" s="38"/>
      <c r="BV169" s="38"/>
      <c r="BW169" s="38"/>
      <c r="BX169" s="38"/>
      <c r="BY169" s="38"/>
      <c r="BZ169" s="38"/>
      <c r="CA169" s="38"/>
      <c r="CB169" s="38"/>
      <c r="CC169" s="38"/>
      <c r="CD169" s="38"/>
      <c r="CE169" s="38"/>
      <c r="CF169" s="38"/>
      <c r="CG169" s="38"/>
      <c r="CH169" s="38"/>
      <c r="CI169" s="38"/>
      <c r="CJ169" s="38"/>
      <c r="CK169" s="38"/>
      <c r="CL169" s="38"/>
      <c r="CM169" s="38"/>
      <c r="CN169" s="38"/>
      <c r="CO169" s="38"/>
      <c r="CP169" s="38"/>
      <c r="CQ169" s="38"/>
      <c r="CR169" s="38"/>
      <c r="CS169" s="38"/>
      <c r="CT169" s="38"/>
      <c r="CU169" s="38"/>
      <c r="CV169" s="38"/>
      <c r="CW169" s="38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  <c r="HN169" s="3"/>
      <c r="HO169" s="3"/>
      <c r="HP169" s="3"/>
      <c r="HQ169" s="3"/>
      <c r="HR169" s="3"/>
      <c r="HS169" s="3"/>
      <c r="HT169" s="3"/>
      <c r="HU169" s="3"/>
      <c r="HV169" s="3"/>
      <c r="HW169" s="3"/>
      <c r="HX169" s="3"/>
      <c r="HY169" s="3"/>
      <c r="HZ169" s="3"/>
      <c r="IA169" s="3"/>
      <c r="IB169" s="3"/>
      <c r="IC169" s="3"/>
      <c r="ID169" s="3"/>
      <c r="IE169" s="3"/>
      <c r="IF169" s="3"/>
      <c r="IG169" s="3"/>
      <c r="IH169" s="3"/>
      <c r="II169" s="3"/>
      <c r="IJ169" s="3"/>
      <c r="IK169" s="3"/>
      <c r="IL169" s="3"/>
      <c r="IM169" s="3"/>
      <c r="IN169" s="3"/>
      <c r="IO169" s="3"/>
      <c r="IP169" s="3"/>
      <c r="IQ169" s="3"/>
      <c r="IR169" s="3"/>
      <c r="IS169" s="3"/>
      <c r="IT169" s="3"/>
      <c r="IU169" s="3"/>
      <c r="IV169" s="3"/>
    </row>
    <row r="170" spans="1:256" s="13" customFormat="1" ht="67.5" customHeight="1">
      <c r="A170" s="112"/>
      <c r="B170" s="113"/>
      <c r="C170" s="114"/>
      <c r="D170" s="350" t="s">
        <v>354</v>
      </c>
      <c r="E170" s="76"/>
      <c r="G170" s="144"/>
      <c r="H170" s="71"/>
      <c r="I170" s="110"/>
      <c r="J170" s="299"/>
      <c r="K170" s="139"/>
      <c r="L170" s="139"/>
      <c r="M170" s="139"/>
      <c r="N170" s="139"/>
      <c r="O170" s="139"/>
      <c r="P170" s="139"/>
      <c r="Q170" s="299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8"/>
      <c r="AM170" s="38"/>
      <c r="AN170" s="38"/>
      <c r="AO170" s="38"/>
      <c r="AP170" s="38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BG170" s="38"/>
      <c r="BH170" s="38"/>
      <c r="BI170" s="38"/>
      <c r="BJ170" s="38"/>
      <c r="BK170" s="38"/>
      <c r="BL170" s="38"/>
      <c r="BM170" s="38"/>
      <c r="BN170" s="38"/>
      <c r="BO170" s="38"/>
      <c r="BP170" s="38"/>
      <c r="BQ170" s="38"/>
      <c r="BR170" s="38"/>
      <c r="BS170" s="38"/>
      <c r="BT170" s="38"/>
      <c r="BU170" s="38"/>
      <c r="BV170" s="38"/>
      <c r="BW170" s="38"/>
      <c r="BX170" s="38"/>
      <c r="BY170" s="38"/>
      <c r="BZ170" s="38"/>
      <c r="CA170" s="38"/>
      <c r="CB170" s="38"/>
      <c r="CC170" s="38"/>
      <c r="CD170" s="38"/>
      <c r="CE170" s="38"/>
      <c r="CF170" s="38"/>
      <c r="CG170" s="38"/>
      <c r="CH170" s="38"/>
      <c r="CI170" s="38"/>
      <c r="CJ170" s="38"/>
      <c r="CK170" s="38"/>
      <c r="CL170" s="38"/>
      <c r="CM170" s="38"/>
      <c r="CN170" s="38"/>
      <c r="CO170" s="38"/>
      <c r="CP170" s="38"/>
      <c r="CQ170" s="38"/>
      <c r="CR170" s="38"/>
      <c r="CS170" s="38"/>
      <c r="CT170" s="38"/>
      <c r="CU170" s="38"/>
      <c r="CV170" s="38"/>
      <c r="CW170" s="38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  <c r="HN170" s="3"/>
      <c r="HO170" s="3"/>
      <c r="HP170" s="3"/>
      <c r="HQ170" s="3"/>
      <c r="HR170" s="3"/>
      <c r="HS170" s="3"/>
      <c r="HT170" s="3"/>
      <c r="HU170" s="3"/>
      <c r="HV170" s="3"/>
      <c r="HW170" s="3"/>
      <c r="HX170" s="3"/>
      <c r="HY170" s="3"/>
      <c r="HZ170" s="3"/>
      <c r="IA170" s="3"/>
      <c r="IB170" s="3"/>
      <c r="IC170" s="3"/>
      <c r="ID170" s="3"/>
      <c r="IE170" s="3"/>
      <c r="IF170" s="3"/>
      <c r="IG170" s="3"/>
      <c r="IH170" s="3"/>
      <c r="II170" s="3"/>
      <c r="IJ170" s="3"/>
      <c r="IK170" s="3"/>
      <c r="IL170" s="3"/>
      <c r="IM170" s="3"/>
      <c r="IN170" s="3"/>
      <c r="IO170" s="3"/>
      <c r="IP170" s="3"/>
      <c r="IQ170" s="3"/>
      <c r="IR170" s="3"/>
      <c r="IS170" s="3"/>
      <c r="IT170" s="3"/>
      <c r="IU170" s="3"/>
      <c r="IV170" s="3"/>
    </row>
    <row r="171" spans="1:256" s="48" customFormat="1" ht="13.5" customHeight="1">
      <c r="A171" s="146"/>
      <c r="B171" s="147"/>
      <c r="C171" s="147" t="s">
        <v>48</v>
      </c>
      <c r="D171" s="147" t="s">
        <v>10</v>
      </c>
      <c r="E171" s="147"/>
      <c r="F171" s="148"/>
      <c r="G171" s="149"/>
      <c r="H171" s="149">
        <f>SUM(H172:H174)</f>
        <v>0</v>
      </c>
      <c r="I171" s="150"/>
      <c r="J171" s="15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  <c r="AS171" s="41"/>
      <c r="AT171" s="41"/>
      <c r="AU171" s="41"/>
      <c r="AV171" s="41"/>
      <c r="AW171" s="41"/>
      <c r="AX171" s="41"/>
      <c r="AY171" s="41"/>
      <c r="AZ171" s="41"/>
      <c r="BA171" s="41"/>
      <c r="BB171" s="41"/>
      <c r="BC171" s="41"/>
      <c r="BD171" s="41"/>
      <c r="BE171" s="41"/>
      <c r="BF171" s="41"/>
      <c r="BG171" s="41"/>
      <c r="BH171" s="41"/>
      <c r="BI171" s="41"/>
      <c r="BJ171" s="41"/>
      <c r="BK171" s="41"/>
      <c r="BL171" s="41"/>
      <c r="BM171" s="41"/>
      <c r="BN171" s="41"/>
      <c r="BO171" s="41"/>
      <c r="BP171" s="41"/>
      <c r="BQ171" s="41"/>
      <c r="BR171" s="41"/>
      <c r="BS171" s="41"/>
      <c r="BT171" s="41"/>
      <c r="BU171" s="41"/>
      <c r="BV171" s="41"/>
      <c r="BW171" s="41"/>
      <c r="BX171" s="41"/>
      <c r="BY171" s="41"/>
      <c r="BZ171" s="41"/>
      <c r="CA171" s="41"/>
      <c r="CB171" s="41"/>
      <c r="CC171" s="41"/>
      <c r="CD171" s="41"/>
      <c r="CE171" s="41"/>
      <c r="CF171" s="41"/>
      <c r="CG171" s="41"/>
      <c r="CH171" s="41"/>
      <c r="CI171" s="41"/>
      <c r="CJ171" s="41"/>
      <c r="CK171" s="41"/>
      <c r="CL171" s="41"/>
      <c r="CM171" s="41"/>
      <c r="CN171" s="41"/>
      <c r="CO171" s="41"/>
      <c r="CP171" s="41"/>
      <c r="CQ171" s="41"/>
      <c r="CR171" s="41"/>
      <c r="CS171" s="41"/>
      <c r="CT171" s="41"/>
      <c r="CU171" s="41"/>
      <c r="CV171" s="41"/>
      <c r="CW171" s="41"/>
    </row>
    <row r="172" spans="1:256" s="48" customFormat="1" ht="13.5" customHeight="1">
      <c r="A172" s="84">
        <v>30</v>
      </c>
      <c r="B172" s="85" t="s">
        <v>29</v>
      </c>
      <c r="C172" s="87">
        <v>998018003</v>
      </c>
      <c r="D172" s="105" t="s">
        <v>193</v>
      </c>
      <c r="E172" s="106" t="s">
        <v>44</v>
      </c>
      <c r="F172" s="121">
        <v>27.715</v>
      </c>
      <c r="G172" s="90"/>
      <c r="H172" s="90">
        <f>F172*G172</f>
        <v>0</v>
      </c>
      <c r="I172" s="72" t="s">
        <v>31</v>
      </c>
      <c r="J172" s="41"/>
      <c r="K172" s="152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41"/>
      <c r="AO172" s="41"/>
      <c r="AP172" s="41"/>
      <c r="AQ172" s="41"/>
      <c r="AR172" s="41"/>
      <c r="AS172" s="41"/>
      <c r="AT172" s="41"/>
      <c r="AU172" s="41"/>
      <c r="AV172" s="41"/>
      <c r="AW172" s="41"/>
      <c r="AX172" s="41"/>
      <c r="AY172" s="41"/>
      <c r="AZ172" s="41"/>
      <c r="BA172" s="41"/>
      <c r="BB172" s="41"/>
      <c r="BC172" s="41"/>
      <c r="BD172" s="41"/>
      <c r="BE172" s="41"/>
      <c r="BF172" s="41"/>
      <c r="BG172" s="41"/>
      <c r="BH172" s="41"/>
      <c r="BI172" s="41"/>
      <c r="BJ172" s="41"/>
      <c r="BK172" s="41"/>
      <c r="BL172" s="41"/>
      <c r="BM172" s="41"/>
      <c r="BN172" s="41"/>
      <c r="BO172" s="41"/>
      <c r="BP172" s="41"/>
      <c r="BQ172" s="41"/>
      <c r="BR172" s="41"/>
      <c r="BS172" s="41"/>
      <c r="BT172" s="41"/>
      <c r="BU172" s="41"/>
      <c r="BV172" s="41"/>
      <c r="BW172" s="41"/>
      <c r="BX172" s="41"/>
      <c r="BY172" s="41"/>
      <c r="BZ172" s="41"/>
      <c r="CA172" s="41"/>
      <c r="CB172" s="41"/>
      <c r="CC172" s="41"/>
      <c r="CD172" s="41"/>
      <c r="CE172" s="41"/>
      <c r="CF172" s="41"/>
      <c r="CG172" s="41"/>
      <c r="CH172" s="41"/>
      <c r="CI172" s="41"/>
      <c r="CJ172" s="41"/>
      <c r="CK172" s="41"/>
      <c r="CL172" s="41"/>
      <c r="CM172" s="41"/>
      <c r="CN172" s="41"/>
      <c r="CO172" s="41"/>
      <c r="CP172" s="41"/>
      <c r="CQ172" s="41"/>
      <c r="CR172" s="41"/>
      <c r="CS172" s="41"/>
      <c r="CT172" s="41"/>
      <c r="CU172" s="41"/>
      <c r="CV172" s="41"/>
      <c r="CW172" s="41"/>
    </row>
    <row r="173" spans="1:256" s="43" customFormat="1" ht="13.5" customHeight="1">
      <c r="A173" s="84">
        <v>31</v>
      </c>
      <c r="B173" s="87" t="s">
        <v>50</v>
      </c>
      <c r="C173" s="87" t="s">
        <v>51</v>
      </c>
      <c r="D173" s="87" t="s">
        <v>52</v>
      </c>
      <c r="E173" s="87" t="s">
        <v>53</v>
      </c>
      <c r="F173" s="88">
        <f>F174</f>
        <v>20</v>
      </c>
      <c r="G173" s="90"/>
      <c r="H173" s="90">
        <f>F173*G173</f>
        <v>0</v>
      </c>
      <c r="I173" s="72" t="s">
        <v>31</v>
      </c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</row>
    <row r="174" spans="1:256" s="43" customFormat="1" ht="27" customHeight="1">
      <c r="A174" s="84"/>
      <c r="B174" s="87"/>
      <c r="C174" s="153"/>
      <c r="D174" s="116" t="s">
        <v>54</v>
      </c>
      <c r="E174" s="153"/>
      <c r="F174" s="154">
        <v>20</v>
      </c>
      <c r="G174" s="155"/>
      <c r="H174" s="155"/>
      <c r="I174" s="156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</row>
    <row r="175" spans="1:256" s="41" customFormat="1" ht="21" customHeight="1">
      <c r="A175" s="146"/>
      <c r="B175" s="147"/>
      <c r="C175" s="147" t="s">
        <v>11</v>
      </c>
      <c r="D175" s="147" t="s">
        <v>12</v>
      </c>
      <c r="E175" s="147"/>
      <c r="F175" s="157"/>
      <c r="G175" s="149"/>
      <c r="H175" s="149">
        <f>H176+H269+H303+H331+H391</f>
        <v>0</v>
      </c>
      <c r="I175" s="150"/>
    </row>
    <row r="176" spans="1:256" s="256" customFormat="1" ht="13.5" customHeight="1">
      <c r="A176" s="74"/>
      <c r="B176" s="75"/>
      <c r="C176" s="75">
        <v>763</v>
      </c>
      <c r="D176" s="75" t="s">
        <v>68</v>
      </c>
      <c r="E176" s="75"/>
      <c r="F176" s="158"/>
      <c r="G176" s="78"/>
      <c r="H176" s="78">
        <f>SUM(H177:H268)</f>
        <v>0</v>
      </c>
      <c r="I176" s="234"/>
      <c r="J176" s="207"/>
      <c r="K176" s="207"/>
      <c r="L176" s="207"/>
      <c r="M176" s="207"/>
      <c r="N176" s="207"/>
      <c r="O176" s="207"/>
      <c r="P176" s="207"/>
      <c r="Q176" s="207"/>
      <c r="R176" s="207"/>
      <c r="S176" s="207"/>
      <c r="T176" s="207"/>
      <c r="U176" s="207"/>
      <c r="V176" s="207"/>
      <c r="W176" s="207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/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  <c r="BI176" s="207"/>
      <c r="BJ176" s="207"/>
      <c r="BK176" s="207"/>
      <c r="BL176" s="207"/>
      <c r="BM176" s="207"/>
      <c r="BN176" s="207"/>
      <c r="BO176" s="207"/>
      <c r="BP176" s="207"/>
      <c r="BQ176" s="207"/>
      <c r="BR176" s="207"/>
      <c r="BS176" s="207"/>
      <c r="BT176" s="207"/>
      <c r="BU176" s="207"/>
      <c r="BV176" s="207"/>
      <c r="BW176" s="207"/>
      <c r="BX176" s="207"/>
      <c r="BY176" s="73"/>
      <c r="BZ176" s="73"/>
      <c r="CA176" s="73"/>
      <c r="CB176" s="73"/>
      <c r="CC176" s="73"/>
      <c r="CD176" s="73"/>
      <c r="CE176" s="73"/>
      <c r="CF176" s="73"/>
      <c r="CG176" s="73"/>
      <c r="CH176" s="73"/>
      <c r="CI176" s="73"/>
      <c r="CJ176" s="73"/>
      <c r="CK176" s="73"/>
      <c r="CL176" s="73"/>
      <c r="CM176" s="73"/>
      <c r="CN176" s="73"/>
      <c r="CO176" s="73"/>
      <c r="CP176" s="73"/>
      <c r="CQ176" s="73"/>
      <c r="CR176" s="73"/>
      <c r="CS176" s="73"/>
      <c r="CT176" s="73"/>
      <c r="CU176" s="73"/>
      <c r="CV176" s="73"/>
      <c r="CW176" s="73"/>
    </row>
    <row r="177" spans="1:101" s="5" customFormat="1" ht="13.5" customHeight="1">
      <c r="A177" s="67">
        <v>32</v>
      </c>
      <c r="B177" s="68" t="s">
        <v>194</v>
      </c>
      <c r="C177" s="405">
        <v>763111431</v>
      </c>
      <c r="D177" s="107" t="s">
        <v>195</v>
      </c>
      <c r="E177" s="406" t="s">
        <v>30</v>
      </c>
      <c r="F177" s="257">
        <f>SUM(F179:F183)</f>
        <v>189.19799999999998</v>
      </c>
      <c r="G177" s="407"/>
      <c r="H177" s="71">
        <f>F177*G177</f>
        <v>0</v>
      </c>
      <c r="I177" s="101" t="s">
        <v>196</v>
      </c>
      <c r="J177" s="309"/>
      <c r="K177" s="310"/>
      <c r="L177" s="298"/>
      <c r="M177" s="299"/>
      <c r="N177" s="300"/>
      <c r="O177" s="311"/>
      <c r="P177" s="207"/>
      <c r="Q177" s="207"/>
      <c r="R177" s="302"/>
      <c r="S177" s="211"/>
      <c r="T177" s="211"/>
      <c r="U177" s="211"/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/>
      <c r="AF177" s="211"/>
      <c r="AG177" s="211"/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  <c r="BI177" s="211"/>
      <c r="BJ177" s="211"/>
      <c r="BK177" s="211"/>
      <c r="BL177" s="211"/>
      <c r="BM177" s="211"/>
      <c r="BN177" s="211"/>
      <c r="BO177" s="211"/>
      <c r="BP177" s="211"/>
      <c r="BQ177" s="211"/>
      <c r="BR177" s="211"/>
      <c r="BS177" s="211"/>
      <c r="BT177" s="211"/>
      <c r="BU177" s="211"/>
      <c r="BV177" s="211"/>
      <c r="BW177" s="211"/>
      <c r="BX177" s="211"/>
      <c r="BY177" s="109"/>
      <c r="BZ177" s="109"/>
      <c r="CA177" s="109"/>
      <c r="CB177" s="109"/>
      <c r="CC177" s="109"/>
      <c r="CD177" s="109"/>
      <c r="CE177" s="109"/>
      <c r="CF177" s="109"/>
      <c r="CG177" s="109"/>
      <c r="CH177" s="109"/>
      <c r="CI177" s="109"/>
      <c r="CJ177" s="109"/>
      <c r="CK177" s="109"/>
      <c r="CL177" s="109"/>
      <c r="CM177" s="109"/>
      <c r="CN177" s="109"/>
      <c r="CO177" s="109"/>
      <c r="CP177" s="109"/>
      <c r="CQ177" s="109"/>
      <c r="CR177" s="109"/>
      <c r="CS177" s="109"/>
      <c r="CT177" s="109"/>
      <c r="CU177" s="109"/>
      <c r="CV177" s="109"/>
      <c r="CW177" s="109"/>
    </row>
    <row r="178" spans="1:101" s="3" customFormat="1" ht="13.5" customHeight="1">
      <c r="A178" s="258"/>
      <c r="B178" s="259"/>
      <c r="C178" s="259"/>
      <c r="D178" s="260" t="s">
        <v>197</v>
      </c>
      <c r="E178" s="259"/>
      <c r="F178" s="261"/>
      <c r="G178" s="262"/>
      <c r="H178" s="263"/>
      <c r="I178" s="264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  <c r="BK178" s="38"/>
      <c r="BL178" s="38"/>
      <c r="BM178" s="38"/>
      <c r="BN178" s="38"/>
      <c r="BO178" s="38"/>
      <c r="BP178" s="38"/>
      <c r="BQ178" s="38"/>
      <c r="BR178" s="38"/>
      <c r="BS178" s="38"/>
      <c r="BT178" s="38"/>
      <c r="BU178" s="38"/>
      <c r="BV178" s="38"/>
      <c r="BW178" s="38"/>
      <c r="BX178" s="38"/>
      <c r="BY178" s="38"/>
      <c r="BZ178" s="38"/>
      <c r="CA178" s="38"/>
      <c r="CB178" s="38"/>
      <c r="CC178" s="38"/>
      <c r="CD178" s="38"/>
      <c r="CE178" s="38"/>
      <c r="CF178" s="38"/>
      <c r="CG178" s="38"/>
      <c r="CH178" s="38"/>
      <c r="CI178" s="38"/>
      <c r="CJ178" s="38"/>
      <c r="CK178" s="38"/>
      <c r="CL178" s="38"/>
      <c r="CM178" s="38"/>
      <c r="CN178" s="38"/>
      <c r="CO178" s="38"/>
      <c r="CP178" s="38"/>
      <c r="CQ178" s="38"/>
      <c r="CR178" s="38"/>
      <c r="CS178" s="38"/>
      <c r="CT178" s="38"/>
      <c r="CU178" s="38"/>
      <c r="CV178" s="38"/>
      <c r="CW178" s="38"/>
    </row>
    <row r="179" spans="1:101" s="5" customFormat="1" ht="13.5" customHeight="1">
      <c r="A179" s="74"/>
      <c r="B179" s="75"/>
      <c r="C179" s="75"/>
      <c r="D179" s="408" t="s">
        <v>413</v>
      </c>
      <c r="E179" s="75"/>
      <c r="F179" s="77">
        <f>(5.93)*1.15</f>
        <v>6.8194999999999988</v>
      </c>
      <c r="G179" s="78"/>
      <c r="H179" s="78"/>
      <c r="I179" s="110"/>
      <c r="J179" s="211"/>
      <c r="K179" s="211"/>
      <c r="L179" s="211"/>
      <c r="M179" s="211"/>
      <c r="N179" s="211"/>
      <c r="O179" s="211"/>
      <c r="P179" s="211"/>
      <c r="Q179" s="211"/>
      <c r="R179" s="211"/>
      <c r="S179" s="211"/>
      <c r="T179" s="211"/>
      <c r="U179" s="211"/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/>
      <c r="AF179" s="211"/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  <c r="BI179" s="211"/>
      <c r="BJ179" s="211"/>
      <c r="BK179" s="211"/>
      <c r="BL179" s="211"/>
      <c r="BM179" s="211"/>
      <c r="BN179" s="211"/>
      <c r="BO179" s="211"/>
      <c r="BP179" s="211"/>
      <c r="BQ179" s="211"/>
      <c r="BR179" s="211"/>
      <c r="BS179" s="211"/>
      <c r="BT179" s="211"/>
      <c r="BU179" s="211"/>
      <c r="BV179" s="211"/>
      <c r="BW179" s="211"/>
      <c r="BX179" s="211"/>
      <c r="BY179" s="109"/>
      <c r="BZ179" s="109"/>
      <c r="CA179" s="109"/>
      <c r="CB179" s="109"/>
      <c r="CC179" s="109"/>
      <c r="CD179" s="109"/>
      <c r="CE179" s="109"/>
      <c r="CF179" s="109"/>
      <c r="CG179" s="109"/>
      <c r="CH179" s="109"/>
      <c r="CI179" s="109"/>
      <c r="CJ179" s="109"/>
      <c r="CK179" s="109"/>
      <c r="CL179" s="109"/>
      <c r="CM179" s="109"/>
      <c r="CN179" s="109"/>
      <c r="CO179" s="109"/>
      <c r="CP179" s="109"/>
      <c r="CQ179" s="109"/>
      <c r="CR179" s="109"/>
      <c r="CS179" s="109"/>
      <c r="CT179" s="109"/>
      <c r="CU179" s="109"/>
      <c r="CV179" s="109"/>
      <c r="CW179" s="109"/>
    </row>
    <row r="180" spans="1:101" s="5" customFormat="1" ht="13.5" customHeight="1">
      <c r="A180" s="74"/>
      <c r="B180" s="75"/>
      <c r="C180" s="75"/>
      <c r="D180" s="408" t="s">
        <v>414</v>
      </c>
      <c r="E180" s="75"/>
      <c r="F180" s="77">
        <f>(43.89)*1.15</f>
        <v>50.473499999999994</v>
      </c>
      <c r="G180" s="78"/>
      <c r="H180" s="78"/>
      <c r="I180" s="110"/>
      <c r="J180" s="211"/>
      <c r="K180" s="211"/>
      <c r="L180" s="211"/>
      <c r="M180" s="211"/>
      <c r="N180" s="211"/>
      <c r="O180" s="211"/>
      <c r="P180" s="211"/>
      <c r="Q180" s="211"/>
      <c r="R180" s="211"/>
      <c r="S180" s="211"/>
      <c r="T180" s="211"/>
      <c r="U180" s="211"/>
      <c r="V180" s="211"/>
      <c r="W180" s="211"/>
      <c r="X180" s="211"/>
      <c r="Y180" s="211"/>
      <c r="Z180" s="211"/>
      <c r="AA180" s="211"/>
      <c r="AB180" s="211"/>
      <c r="AC180" s="211"/>
      <c r="AD180" s="211"/>
      <c r="AE180" s="211"/>
      <c r="AF180" s="211"/>
      <c r="AG180" s="211"/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  <c r="BI180" s="211"/>
      <c r="BJ180" s="211"/>
      <c r="BK180" s="211"/>
      <c r="BL180" s="211"/>
      <c r="BM180" s="211"/>
      <c r="BN180" s="211"/>
      <c r="BO180" s="211"/>
      <c r="BP180" s="211"/>
      <c r="BQ180" s="211"/>
      <c r="BR180" s="211"/>
      <c r="BS180" s="211"/>
      <c r="BT180" s="211"/>
      <c r="BU180" s="211"/>
      <c r="BV180" s="211"/>
      <c r="BW180" s="211"/>
      <c r="BX180" s="211"/>
      <c r="BY180" s="109"/>
      <c r="BZ180" s="109"/>
      <c r="CA180" s="109"/>
      <c r="CB180" s="109"/>
      <c r="CC180" s="109"/>
      <c r="CD180" s="109"/>
      <c r="CE180" s="109"/>
      <c r="CF180" s="109"/>
      <c r="CG180" s="109"/>
      <c r="CH180" s="109"/>
      <c r="CI180" s="109"/>
      <c r="CJ180" s="109"/>
      <c r="CK180" s="109"/>
      <c r="CL180" s="109"/>
      <c r="CM180" s="109"/>
      <c r="CN180" s="109"/>
      <c r="CO180" s="109"/>
      <c r="CP180" s="109"/>
      <c r="CQ180" s="109"/>
      <c r="CR180" s="109"/>
      <c r="CS180" s="109"/>
      <c r="CT180" s="109"/>
      <c r="CU180" s="109"/>
      <c r="CV180" s="109"/>
      <c r="CW180" s="109"/>
    </row>
    <row r="181" spans="1:101" s="5" customFormat="1" ht="13.5" customHeight="1">
      <c r="A181" s="74"/>
      <c r="B181" s="75"/>
      <c r="C181" s="75"/>
      <c r="D181" s="408" t="s">
        <v>415</v>
      </c>
      <c r="E181" s="75"/>
      <c r="F181" s="77">
        <f>(43.81)*1.15</f>
        <v>50.381499999999996</v>
      </c>
      <c r="G181" s="78"/>
      <c r="H181" s="78"/>
      <c r="I181" s="110"/>
      <c r="J181" s="211"/>
      <c r="K181" s="211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/>
      <c r="AF181" s="211"/>
      <c r="AG181" s="211"/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  <c r="BI181" s="211"/>
      <c r="BJ181" s="211"/>
      <c r="BK181" s="211"/>
      <c r="BL181" s="211"/>
      <c r="BM181" s="211"/>
      <c r="BN181" s="211"/>
      <c r="BO181" s="211"/>
      <c r="BP181" s="211"/>
      <c r="BQ181" s="211"/>
      <c r="BR181" s="211"/>
      <c r="BS181" s="211"/>
      <c r="BT181" s="211"/>
      <c r="BU181" s="211"/>
      <c r="BV181" s="211"/>
      <c r="BW181" s="211"/>
      <c r="BX181" s="211"/>
      <c r="BY181" s="109"/>
      <c r="BZ181" s="109"/>
      <c r="CA181" s="109"/>
      <c r="CB181" s="109"/>
      <c r="CC181" s="109"/>
      <c r="CD181" s="109"/>
      <c r="CE181" s="109"/>
      <c r="CF181" s="109"/>
      <c r="CG181" s="109"/>
      <c r="CH181" s="109"/>
      <c r="CI181" s="109"/>
      <c r="CJ181" s="109"/>
      <c r="CK181" s="109"/>
      <c r="CL181" s="109"/>
      <c r="CM181" s="109"/>
      <c r="CN181" s="109"/>
      <c r="CO181" s="109"/>
      <c r="CP181" s="109"/>
      <c r="CQ181" s="109"/>
      <c r="CR181" s="109"/>
      <c r="CS181" s="109"/>
      <c r="CT181" s="109"/>
      <c r="CU181" s="109"/>
      <c r="CV181" s="109"/>
      <c r="CW181" s="109"/>
    </row>
    <row r="182" spans="1:101" s="5" customFormat="1" ht="13.5" customHeight="1">
      <c r="A182" s="74"/>
      <c r="B182" s="75"/>
      <c r="C182" s="75"/>
      <c r="D182" s="408" t="s">
        <v>416</v>
      </c>
      <c r="E182" s="75"/>
      <c r="F182" s="77">
        <f>(43.72)*1.15</f>
        <v>50.277999999999992</v>
      </c>
      <c r="G182" s="78"/>
      <c r="H182" s="78"/>
      <c r="I182" s="110"/>
      <c r="J182" s="211"/>
      <c r="K182" s="211"/>
      <c r="L182" s="211"/>
      <c r="M182" s="211"/>
      <c r="N182" s="211"/>
      <c r="O182" s="211"/>
      <c r="P182" s="211"/>
      <c r="Q182" s="211"/>
      <c r="R182" s="211"/>
      <c r="S182" s="211"/>
      <c r="T182" s="211"/>
      <c r="U182" s="211"/>
      <c r="V182" s="211"/>
      <c r="W182" s="211"/>
      <c r="X182" s="211"/>
      <c r="Y182" s="211"/>
      <c r="Z182" s="211"/>
      <c r="AA182" s="211"/>
      <c r="AB182" s="211"/>
      <c r="AC182" s="211"/>
      <c r="AD182" s="211"/>
      <c r="AE182" s="211"/>
      <c r="AF182" s="211"/>
      <c r="AG182" s="211"/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  <c r="BI182" s="211"/>
      <c r="BJ182" s="211"/>
      <c r="BK182" s="211"/>
      <c r="BL182" s="211"/>
      <c r="BM182" s="211"/>
      <c r="BN182" s="211"/>
      <c r="BO182" s="211"/>
      <c r="BP182" s="211"/>
      <c r="BQ182" s="211"/>
      <c r="BR182" s="211"/>
      <c r="BS182" s="211"/>
      <c r="BT182" s="211"/>
      <c r="BU182" s="211"/>
      <c r="BV182" s="211"/>
      <c r="BW182" s="211"/>
      <c r="BX182" s="211"/>
      <c r="BY182" s="109"/>
      <c r="BZ182" s="109"/>
      <c r="CA182" s="109"/>
      <c r="CB182" s="109"/>
      <c r="CC182" s="109"/>
      <c r="CD182" s="109"/>
      <c r="CE182" s="109"/>
      <c r="CF182" s="109"/>
      <c r="CG182" s="109"/>
      <c r="CH182" s="109"/>
      <c r="CI182" s="109"/>
      <c r="CJ182" s="109"/>
      <c r="CK182" s="109"/>
      <c r="CL182" s="109"/>
      <c r="CM182" s="109"/>
      <c r="CN182" s="109"/>
      <c r="CO182" s="109"/>
      <c r="CP182" s="109"/>
      <c r="CQ182" s="109"/>
      <c r="CR182" s="109"/>
      <c r="CS182" s="109"/>
      <c r="CT182" s="109"/>
      <c r="CU182" s="109"/>
      <c r="CV182" s="109"/>
      <c r="CW182" s="109"/>
    </row>
    <row r="183" spans="1:101" s="5" customFormat="1" ht="13.5" customHeight="1">
      <c r="A183" s="74"/>
      <c r="B183" s="75"/>
      <c r="C183" s="75"/>
      <c r="D183" s="408" t="s">
        <v>417</v>
      </c>
      <c r="E183" s="75"/>
      <c r="F183" s="77">
        <f>(27.17)*1.15</f>
        <v>31.2455</v>
      </c>
      <c r="G183" s="78"/>
      <c r="H183" s="78"/>
      <c r="I183" s="110"/>
      <c r="J183" s="211"/>
      <c r="K183" s="211"/>
      <c r="L183" s="211"/>
      <c r="M183" s="211"/>
      <c r="N183" s="211"/>
      <c r="O183" s="211"/>
      <c r="P183" s="211"/>
      <c r="Q183" s="211"/>
      <c r="R183" s="211"/>
      <c r="S183" s="211"/>
      <c r="T183" s="211"/>
      <c r="U183" s="211"/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/>
      <c r="AF183" s="211"/>
      <c r="AG183" s="211"/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  <c r="BI183" s="211"/>
      <c r="BJ183" s="211"/>
      <c r="BK183" s="211"/>
      <c r="BL183" s="211"/>
      <c r="BM183" s="211"/>
      <c r="BN183" s="211"/>
      <c r="BO183" s="211"/>
      <c r="BP183" s="211"/>
      <c r="BQ183" s="211"/>
      <c r="BR183" s="211"/>
      <c r="BS183" s="211"/>
      <c r="BT183" s="211"/>
      <c r="BU183" s="211"/>
      <c r="BV183" s="211"/>
      <c r="BW183" s="211"/>
      <c r="BX183" s="211"/>
      <c r="BY183" s="109"/>
      <c r="BZ183" s="109"/>
      <c r="CA183" s="109"/>
      <c r="CB183" s="109"/>
      <c r="CC183" s="109"/>
      <c r="CD183" s="109"/>
      <c r="CE183" s="109"/>
      <c r="CF183" s="109"/>
      <c r="CG183" s="109"/>
      <c r="CH183" s="109"/>
      <c r="CI183" s="109"/>
      <c r="CJ183" s="109"/>
      <c r="CK183" s="109"/>
      <c r="CL183" s="109"/>
      <c r="CM183" s="109"/>
      <c r="CN183" s="109"/>
      <c r="CO183" s="109"/>
      <c r="CP183" s="109"/>
      <c r="CQ183" s="109"/>
      <c r="CR183" s="109"/>
      <c r="CS183" s="109"/>
      <c r="CT183" s="109"/>
      <c r="CU183" s="109"/>
      <c r="CV183" s="109"/>
      <c r="CW183" s="109"/>
    </row>
    <row r="184" spans="1:101" s="3" customFormat="1" ht="40.5" customHeight="1">
      <c r="A184" s="258"/>
      <c r="B184" s="265"/>
      <c r="C184" s="266"/>
      <c r="D184" s="260" t="s">
        <v>198</v>
      </c>
      <c r="E184" s="266"/>
      <c r="F184" s="267"/>
      <c r="G184" s="263"/>
      <c r="H184" s="263"/>
      <c r="I184" s="264"/>
      <c r="J184" s="26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  <c r="AM184" s="38"/>
      <c r="AN184" s="38"/>
      <c r="AO184" s="38"/>
      <c r="AP184" s="38"/>
      <c r="AQ184" s="38"/>
      <c r="AR184" s="38"/>
      <c r="AS184" s="38"/>
      <c r="AT184" s="38"/>
      <c r="AU184" s="38"/>
      <c r="AV184" s="38"/>
      <c r="AW184" s="38"/>
      <c r="AX184" s="38"/>
      <c r="AY184" s="38"/>
      <c r="AZ184" s="38"/>
      <c r="BA184" s="38"/>
      <c r="BB184" s="38"/>
      <c r="BC184" s="38"/>
      <c r="BD184" s="38"/>
      <c r="BE184" s="38"/>
      <c r="BF184" s="38"/>
      <c r="BG184" s="38"/>
      <c r="BH184" s="38"/>
      <c r="BI184" s="38"/>
      <c r="BJ184" s="38"/>
      <c r="BK184" s="38"/>
      <c r="BL184" s="38"/>
      <c r="BM184" s="38"/>
      <c r="BN184" s="38"/>
      <c r="BO184" s="38"/>
      <c r="BP184" s="38"/>
      <c r="BQ184" s="38"/>
      <c r="BR184" s="38"/>
      <c r="BS184" s="38"/>
      <c r="BT184" s="38"/>
      <c r="BU184" s="38"/>
      <c r="BV184" s="38"/>
      <c r="BW184" s="38"/>
      <c r="BX184" s="38"/>
      <c r="BY184" s="38"/>
      <c r="BZ184" s="38"/>
      <c r="CA184" s="38"/>
      <c r="CB184" s="38"/>
      <c r="CC184" s="38"/>
      <c r="CD184" s="38"/>
      <c r="CE184" s="38"/>
      <c r="CF184" s="38"/>
      <c r="CG184" s="38"/>
      <c r="CH184" s="38"/>
      <c r="CI184" s="38"/>
      <c r="CJ184" s="38"/>
      <c r="CK184" s="38"/>
      <c r="CL184" s="38"/>
      <c r="CM184" s="38"/>
      <c r="CN184" s="38"/>
      <c r="CO184" s="38"/>
      <c r="CP184" s="38"/>
      <c r="CQ184" s="38"/>
      <c r="CR184" s="38"/>
      <c r="CS184" s="38"/>
      <c r="CT184" s="38"/>
      <c r="CU184" s="38"/>
      <c r="CV184" s="38"/>
      <c r="CW184" s="38"/>
    </row>
    <row r="185" spans="1:101" s="5" customFormat="1" ht="13.5" customHeight="1">
      <c r="A185" s="67">
        <v>33</v>
      </c>
      <c r="B185" s="68" t="s">
        <v>194</v>
      </c>
      <c r="C185" s="405" t="s">
        <v>199</v>
      </c>
      <c r="D185" s="107" t="s">
        <v>200</v>
      </c>
      <c r="E185" s="406" t="s">
        <v>30</v>
      </c>
      <c r="F185" s="257">
        <f>SUM(F187:F189)</f>
        <v>11.758749999999999</v>
      </c>
      <c r="G185" s="407"/>
      <c r="H185" s="71">
        <f>F185*G185</f>
        <v>0</v>
      </c>
      <c r="I185" s="101" t="s">
        <v>39</v>
      </c>
      <c r="J185" s="309"/>
      <c r="K185" s="297"/>
      <c r="L185" s="298"/>
      <c r="M185" s="299"/>
      <c r="N185" s="300"/>
      <c r="O185" s="311"/>
      <c r="P185" s="207"/>
      <c r="Q185" s="213"/>
      <c r="R185" s="302"/>
      <c r="S185" s="211"/>
      <c r="T185" s="211"/>
      <c r="U185" s="211"/>
      <c r="V185" s="211"/>
      <c r="W185" s="211"/>
      <c r="X185" s="211"/>
      <c r="Y185" s="211"/>
      <c r="Z185" s="211"/>
      <c r="AA185" s="211"/>
      <c r="AB185" s="211"/>
      <c r="AC185" s="211"/>
      <c r="AD185" s="211"/>
      <c r="AE185" s="211"/>
      <c r="AF185" s="211"/>
      <c r="AG185" s="211"/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  <c r="BI185" s="211"/>
      <c r="BJ185" s="211"/>
      <c r="BK185" s="211"/>
      <c r="BL185" s="211"/>
      <c r="BM185" s="211"/>
      <c r="BN185" s="211"/>
      <c r="BO185" s="211"/>
      <c r="BP185" s="211"/>
      <c r="BQ185" s="211"/>
      <c r="BR185" s="211"/>
      <c r="BS185" s="211"/>
      <c r="BT185" s="211"/>
      <c r="BU185" s="211"/>
      <c r="BV185" s="211"/>
      <c r="BW185" s="211"/>
      <c r="BX185" s="211"/>
      <c r="BY185" s="109"/>
      <c r="BZ185" s="109"/>
      <c r="CA185" s="109"/>
      <c r="CB185" s="109"/>
      <c r="CC185" s="109"/>
      <c r="CD185" s="109"/>
      <c r="CE185" s="109"/>
      <c r="CF185" s="109"/>
      <c r="CG185" s="109"/>
      <c r="CH185" s="109"/>
      <c r="CI185" s="109"/>
      <c r="CJ185" s="109"/>
      <c r="CK185" s="109"/>
      <c r="CL185" s="109"/>
      <c r="CM185" s="109"/>
      <c r="CN185" s="109"/>
      <c r="CO185" s="109"/>
      <c r="CP185" s="109"/>
      <c r="CQ185" s="109"/>
      <c r="CR185" s="109"/>
      <c r="CS185" s="109"/>
      <c r="CT185" s="109"/>
      <c r="CU185" s="109"/>
      <c r="CV185" s="109"/>
      <c r="CW185" s="109"/>
    </row>
    <row r="186" spans="1:101" s="3" customFormat="1" ht="13.5" customHeight="1">
      <c r="A186" s="258"/>
      <c r="B186" s="259"/>
      <c r="C186" s="259"/>
      <c r="D186" s="260" t="s">
        <v>201</v>
      </c>
      <c r="E186" s="259"/>
      <c r="F186" s="261"/>
      <c r="G186" s="262"/>
      <c r="H186" s="263"/>
      <c r="I186" s="264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38"/>
      <c r="BE186" s="38"/>
      <c r="BF186" s="38"/>
      <c r="BG186" s="38"/>
      <c r="BH186" s="38"/>
      <c r="BI186" s="38"/>
      <c r="BJ186" s="38"/>
      <c r="BK186" s="38"/>
      <c r="BL186" s="38"/>
      <c r="BM186" s="38"/>
      <c r="BN186" s="38"/>
      <c r="BO186" s="38"/>
      <c r="BP186" s="38"/>
      <c r="BQ186" s="38"/>
      <c r="BR186" s="38"/>
      <c r="BS186" s="38"/>
      <c r="BT186" s="38"/>
      <c r="BU186" s="38"/>
      <c r="BV186" s="38"/>
      <c r="BW186" s="38"/>
      <c r="BX186" s="38"/>
      <c r="BY186" s="38"/>
      <c r="BZ186" s="38"/>
      <c r="CA186" s="38"/>
      <c r="CB186" s="38"/>
      <c r="CC186" s="38"/>
      <c r="CD186" s="38"/>
      <c r="CE186" s="38"/>
      <c r="CF186" s="38"/>
      <c r="CG186" s="38"/>
      <c r="CH186" s="38"/>
      <c r="CI186" s="38"/>
      <c r="CJ186" s="38"/>
      <c r="CK186" s="38"/>
      <c r="CL186" s="38"/>
      <c r="CM186" s="38"/>
      <c r="CN186" s="38"/>
      <c r="CO186" s="38"/>
      <c r="CP186" s="38"/>
      <c r="CQ186" s="38"/>
      <c r="CR186" s="38"/>
      <c r="CS186" s="38"/>
      <c r="CT186" s="38"/>
      <c r="CU186" s="38"/>
      <c r="CV186" s="38"/>
      <c r="CW186" s="38"/>
    </row>
    <row r="187" spans="1:101" s="5" customFormat="1" ht="13.5" customHeight="1">
      <c r="A187" s="74"/>
      <c r="B187" s="75"/>
      <c r="C187" s="75"/>
      <c r="D187" s="408" t="s">
        <v>418</v>
      </c>
      <c r="E187" s="75"/>
      <c r="F187" s="77">
        <f>(3.47)*1.15</f>
        <v>3.9904999999999999</v>
      </c>
      <c r="G187" s="78"/>
      <c r="H187" s="78"/>
      <c r="I187" s="110"/>
      <c r="J187" s="211"/>
      <c r="K187" s="211"/>
      <c r="L187" s="211"/>
      <c r="M187" s="211"/>
      <c r="N187" s="211"/>
      <c r="O187" s="211"/>
      <c r="P187" s="211"/>
      <c r="Q187" s="211"/>
      <c r="R187" s="211"/>
      <c r="S187" s="211"/>
      <c r="T187" s="211"/>
      <c r="U187" s="211"/>
      <c r="V187" s="211"/>
      <c r="W187" s="211"/>
      <c r="X187" s="211"/>
      <c r="Y187" s="211"/>
      <c r="Z187" s="211"/>
      <c r="AA187" s="211"/>
      <c r="AB187" s="211"/>
      <c r="AC187" s="211"/>
      <c r="AD187" s="211"/>
      <c r="AE187" s="211"/>
      <c r="AF187" s="211"/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  <c r="BI187" s="211"/>
      <c r="BJ187" s="211"/>
      <c r="BK187" s="211"/>
      <c r="BL187" s="211"/>
      <c r="BM187" s="211"/>
      <c r="BN187" s="211"/>
      <c r="BO187" s="211"/>
      <c r="BP187" s="211"/>
      <c r="BQ187" s="211"/>
      <c r="BR187" s="211"/>
      <c r="BS187" s="211"/>
      <c r="BT187" s="211"/>
      <c r="BU187" s="211"/>
      <c r="BV187" s="211"/>
      <c r="BW187" s="211"/>
      <c r="BX187" s="211"/>
      <c r="BY187" s="109"/>
      <c r="BZ187" s="109"/>
      <c r="CA187" s="109"/>
      <c r="CB187" s="109"/>
      <c r="CC187" s="109"/>
      <c r="CD187" s="109"/>
      <c r="CE187" s="109"/>
      <c r="CF187" s="109"/>
      <c r="CG187" s="109"/>
      <c r="CH187" s="109"/>
      <c r="CI187" s="109"/>
      <c r="CJ187" s="109"/>
      <c r="CK187" s="109"/>
      <c r="CL187" s="109"/>
      <c r="CM187" s="109"/>
      <c r="CN187" s="109"/>
      <c r="CO187" s="109"/>
      <c r="CP187" s="109"/>
      <c r="CQ187" s="109"/>
      <c r="CR187" s="109"/>
      <c r="CS187" s="109"/>
      <c r="CT187" s="109"/>
      <c r="CU187" s="109"/>
      <c r="CV187" s="109"/>
      <c r="CW187" s="109"/>
    </row>
    <row r="188" spans="1:101" s="5" customFormat="1" ht="13.5" customHeight="1">
      <c r="A188" s="74"/>
      <c r="B188" s="75"/>
      <c r="C188" s="75"/>
      <c r="D188" s="408" t="s">
        <v>419</v>
      </c>
      <c r="E188" s="75"/>
      <c r="F188" s="77">
        <f>(3.47)*1.15</f>
        <v>3.9904999999999999</v>
      </c>
      <c r="G188" s="78"/>
      <c r="H188" s="78"/>
      <c r="I188" s="110"/>
      <c r="J188" s="359"/>
      <c r="K188" s="211"/>
      <c r="L188" s="211"/>
      <c r="M188" s="211"/>
      <c r="N188" s="211"/>
      <c r="O188" s="211"/>
      <c r="P188" s="211"/>
      <c r="Q188" s="211"/>
      <c r="R188" s="211"/>
      <c r="S188" s="211"/>
      <c r="T188" s="211"/>
      <c r="U188" s="211"/>
      <c r="V188" s="211"/>
      <c r="W188" s="211"/>
      <c r="X188" s="211"/>
      <c r="Y188" s="211"/>
      <c r="Z188" s="211"/>
      <c r="AA188" s="211"/>
      <c r="AB188" s="211"/>
      <c r="AC188" s="211"/>
      <c r="AD188" s="211"/>
      <c r="AE188" s="211"/>
      <c r="AF188" s="211"/>
      <c r="AG188" s="211"/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  <c r="BI188" s="211"/>
      <c r="BJ188" s="211"/>
      <c r="BK188" s="211"/>
      <c r="BL188" s="211"/>
      <c r="BM188" s="211"/>
      <c r="BN188" s="211"/>
      <c r="BO188" s="211"/>
      <c r="BP188" s="211"/>
      <c r="BQ188" s="211"/>
      <c r="BR188" s="211"/>
      <c r="BS188" s="211"/>
      <c r="BT188" s="211"/>
      <c r="BU188" s="211"/>
      <c r="BV188" s="211"/>
      <c r="BW188" s="211"/>
      <c r="BX188" s="211"/>
      <c r="BY188" s="109"/>
      <c r="BZ188" s="109"/>
      <c r="CA188" s="109"/>
      <c r="CB188" s="109"/>
      <c r="CC188" s="109"/>
      <c r="CD188" s="109"/>
      <c r="CE188" s="109"/>
      <c r="CF188" s="109"/>
      <c r="CG188" s="109"/>
      <c r="CH188" s="109"/>
      <c r="CI188" s="109"/>
      <c r="CJ188" s="109"/>
      <c r="CK188" s="109"/>
      <c r="CL188" s="109"/>
      <c r="CM188" s="109"/>
      <c r="CN188" s="109"/>
      <c r="CO188" s="109"/>
      <c r="CP188" s="109"/>
      <c r="CQ188" s="109"/>
      <c r="CR188" s="109"/>
      <c r="CS188" s="109"/>
      <c r="CT188" s="109"/>
      <c r="CU188" s="109"/>
      <c r="CV188" s="109"/>
      <c r="CW188" s="109"/>
    </row>
    <row r="189" spans="1:101" s="5" customFormat="1" ht="13.5" customHeight="1">
      <c r="A189" s="74"/>
      <c r="B189" s="75"/>
      <c r="C189" s="75"/>
      <c r="D189" s="408" t="s">
        <v>420</v>
      </c>
      <c r="E189" s="75"/>
      <c r="F189" s="77">
        <f>(3.285)*1.15</f>
        <v>3.7777499999999997</v>
      </c>
      <c r="G189" s="78"/>
      <c r="H189" s="78"/>
      <c r="I189" s="110"/>
      <c r="J189" s="211"/>
      <c r="K189" s="211"/>
      <c r="L189" s="211"/>
      <c r="M189" s="211"/>
      <c r="N189" s="211"/>
      <c r="O189" s="211"/>
      <c r="P189" s="211"/>
      <c r="Q189" s="211"/>
      <c r="R189" s="211"/>
      <c r="S189" s="211"/>
      <c r="T189" s="211"/>
      <c r="U189" s="211"/>
      <c r="V189" s="211"/>
      <c r="W189" s="211"/>
      <c r="X189" s="211"/>
      <c r="Y189" s="211"/>
      <c r="Z189" s="211"/>
      <c r="AA189" s="211"/>
      <c r="AB189" s="211"/>
      <c r="AC189" s="211"/>
      <c r="AD189" s="211"/>
      <c r="AE189" s="211"/>
      <c r="AF189" s="211"/>
      <c r="AG189" s="211"/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  <c r="BI189" s="211"/>
      <c r="BJ189" s="211"/>
      <c r="BK189" s="211"/>
      <c r="BL189" s="211"/>
      <c r="BM189" s="211"/>
      <c r="BN189" s="211"/>
      <c r="BO189" s="211"/>
      <c r="BP189" s="211"/>
      <c r="BQ189" s="211"/>
      <c r="BR189" s="211"/>
      <c r="BS189" s="211"/>
      <c r="BT189" s="211"/>
      <c r="BU189" s="211"/>
      <c r="BV189" s="211"/>
      <c r="BW189" s="211"/>
      <c r="BX189" s="211"/>
      <c r="BY189" s="109"/>
      <c r="BZ189" s="109"/>
      <c r="CA189" s="109"/>
      <c r="CB189" s="109"/>
      <c r="CC189" s="109"/>
      <c r="CD189" s="109"/>
      <c r="CE189" s="109"/>
      <c r="CF189" s="109"/>
      <c r="CG189" s="109"/>
      <c r="CH189" s="109"/>
      <c r="CI189" s="109"/>
      <c r="CJ189" s="109"/>
      <c r="CK189" s="109"/>
      <c r="CL189" s="109"/>
      <c r="CM189" s="109"/>
      <c r="CN189" s="109"/>
      <c r="CO189" s="109"/>
      <c r="CP189" s="109"/>
      <c r="CQ189" s="109"/>
      <c r="CR189" s="109"/>
      <c r="CS189" s="109"/>
      <c r="CT189" s="109"/>
      <c r="CU189" s="109"/>
      <c r="CV189" s="109"/>
      <c r="CW189" s="109"/>
    </row>
    <row r="190" spans="1:101" s="3" customFormat="1" ht="40.5" customHeight="1">
      <c r="A190" s="258"/>
      <c r="B190" s="265"/>
      <c r="C190" s="266"/>
      <c r="D190" s="260" t="s">
        <v>198</v>
      </c>
      <c r="E190" s="266"/>
      <c r="F190" s="267"/>
      <c r="G190" s="263"/>
      <c r="H190" s="263"/>
      <c r="I190" s="264"/>
      <c r="J190" s="26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  <c r="BK190" s="38"/>
      <c r="BL190" s="38"/>
      <c r="BM190" s="38"/>
      <c r="BN190" s="38"/>
      <c r="BO190" s="38"/>
      <c r="BP190" s="38"/>
      <c r="BQ190" s="38"/>
      <c r="BR190" s="38"/>
      <c r="BS190" s="38"/>
      <c r="BT190" s="38"/>
      <c r="BU190" s="38"/>
      <c r="BV190" s="38"/>
      <c r="BW190" s="38"/>
      <c r="BX190" s="38"/>
      <c r="BY190" s="38"/>
      <c r="BZ190" s="38"/>
      <c r="CA190" s="38"/>
      <c r="CB190" s="38"/>
      <c r="CC190" s="38"/>
      <c r="CD190" s="38"/>
      <c r="CE190" s="38"/>
      <c r="CF190" s="38"/>
      <c r="CG190" s="38"/>
      <c r="CH190" s="38"/>
      <c r="CI190" s="38"/>
      <c r="CJ190" s="38"/>
      <c r="CK190" s="38"/>
      <c r="CL190" s="38"/>
      <c r="CM190" s="38"/>
      <c r="CN190" s="38"/>
      <c r="CO190" s="38"/>
      <c r="CP190" s="38"/>
      <c r="CQ190" s="38"/>
      <c r="CR190" s="38"/>
      <c r="CS190" s="38"/>
      <c r="CT190" s="38"/>
      <c r="CU190" s="38"/>
      <c r="CV190" s="38"/>
      <c r="CW190" s="38"/>
    </row>
    <row r="191" spans="1:101" s="307" customFormat="1" ht="13.5" customHeight="1">
      <c r="A191" s="334">
        <v>34</v>
      </c>
      <c r="B191" s="354" t="s">
        <v>194</v>
      </c>
      <c r="C191" s="335">
        <v>763111713</v>
      </c>
      <c r="D191" s="335" t="s">
        <v>369</v>
      </c>
      <c r="E191" s="335" t="s">
        <v>41</v>
      </c>
      <c r="F191" s="337">
        <f>SUM(F193:F196)</f>
        <v>16.75</v>
      </c>
      <c r="G191" s="355"/>
      <c r="H191" s="355">
        <f>F191*G191</f>
        <v>0</v>
      </c>
      <c r="I191" s="365" t="s">
        <v>31</v>
      </c>
      <c r="J191" s="207"/>
      <c r="K191" s="211"/>
      <c r="L191" s="211"/>
      <c r="M191" s="211"/>
      <c r="N191" s="211"/>
      <c r="O191" s="211"/>
      <c r="P191" s="211"/>
      <c r="Q191" s="211"/>
      <c r="R191" s="211"/>
      <c r="S191" s="211"/>
      <c r="T191" s="211"/>
      <c r="U191" s="211"/>
      <c r="V191" s="211"/>
      <c r="W191" s="211"/>
      <c r="X191" s="211"/>
      <c r="Y191" s="211"/>
      <c r="Z191" s="211"/>
      <c r="AA191" s="211"/>
      <c r="AB191" s="211"/>
      <c r="AC191" s="211"/>
      <c r="AD191" s="211"/>
      <c r="AE191" s="211"/>
      <c r="AF191" s="211"/>
      <c r="AG191" s="211"/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  <c r="BI191" s="211"/>
      <c r="BJ191" s="211"/>
      <c r="BK191" s="211"/>
      <c r="BL191" s="211"/>
      <c r="BM191" s="211"/>
      <c r="BN191" s="211"/>
      <c r="BO191" s="211"/>
      <c r="BP191" s="211"/>
      <c r="BQ191" s="211"/>
      <c r="BR191" s="211"/>
      <c r="BS191" s="211"/>
      <c r="BT191" s="211"/>
      <c r="BU191" s="211"/>
      <c r="BV191" s="211"/>
      <c r="BW191" s="211"/>
      <c r="BX191" s="211"/>
      <c r="BY191" s="211"/>
      <c r="BZ191" s="211"/>
      <c r="CA191" s="211"/>
      <c r="CB191" s="211"/>
      <c r="CC191" s="211"/>
      <c r="CD191" s="211"/>
      <c r="CE191" s="211"/>
      <c r="CF191" s="211"/>
      <c r="CG191" s="211"/>
      <c r="CH191" s="211"/>
      <c r="CI191" s="211"/>
      <c r="CJ191" s="211"/>
      <c r="CK191" s="211"/>
      <c r="CL191" s="211"/>
      <c r="CM191" s="211"/>
      <c r="CN191" s="211"/>
      <c r="CO191" s="211"/>
      <c r="CP191" s="211"/>
      <c r="CQ191" s="211"/>
      <c r="CR191" s="211"/>
      <c r="CS191" s="211"/>
      <c r="CT191" s="211"/>
      <c r="CU191" s="211"/>
      <c r="CV191" s="211"/>
      <c r="CW191" s="211"/>
    </row>
    <row r="192" spans="1:101" s="307" customFormat="1" ht="13.5" customHeight="1">
      <c r="A192" s="366"/>
      <c r="B192" s="219"/>
      <c r="C192" s="219"/>
      <c r="D192" s="336" t="s">
        <v>370</v>
      </c>
      <c r="E192" s="349"/>
      <c r="F192" s="363"/>
      <c r="G192" s="367"/>
      <c r="H192" s="367"/>
      <c r="I192" s="333"/>
      <c r="J192" s="368"/>
      <c r="K192" s="211"/>
      <c r="L192" s="211"/>
      <c r="M192" s="211"/>
      <c r="N192" s="211"/>
      <c r="O192" s="211"/>
      <c r="P192" s="211"/>
      <c r="Q192" s="211"/>
      <c r="R192" s="211"/>
      <c r="S192" s="211"/>
      <c r="T192" s="211"/>
      <c r="U192" s="211"/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/>
      <c r="AF192" s="211"/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  <c r="BI192" s="211"/>
      <c r="BJ192" s="211"/>
      <c r="BK192" s="211"/>
      <c r="BL192" s="211"/>
      <c r="BM192" s="211"/>
      <c r="BN192" s="211"/>
      <c r="BO192" s="211"/>
      <c r="BP192" s="211"/>
      <c r="BQ192" s="211"/>
      <c r="BR192" s="211"/>
      <c r="BS192" s="211"/>
      <c r="BT192" s="211"/>
      <c r="BU192" s="211"/>
      <c r="BV192" s="211"/>
      <c r="BW192" s="211"/>
      <c r="BX192" s="211"/>
      <c r="BY192" s="211"/>
      <c r="BZ192" s="211"/>
      <c r="CA192" s="211"/>
      <c r="CB192" s="211"/>
      <c r="CC192" s="211"/>
      <c r="CD192" s="211"/>
      <c r="CE192" s="211"/>
      <c r="CF192" s="211"/>
      <c r="CG192" s="211"/>
      <c r="CH192" s="211"/>
      <c r="CI192" s="211"/>
      <c r="CJ192" s="211"/>
      <c r="CK192" s="211"/>
      <c r="CL192" s="211"/>
      <c r="CM192" s="211"/>
      <c r="CN192" s="211"/>
      <c r="CO192" s="211"/>
      <c r="CP192" s="211"/>
      <c r="CQ192" s="211"/>
      <c r="CR192" s="211"/>
      <c r="CS192" s="211"/>
      <c r="CT192" s="211"/>
      <c r="CU192" s="211"/>
      <c r="CV192" s="211"/>
      <c r="CW192" s="211"/>
    </row>
    <row r="193" spans="1:101" s="307" customFormat="1" ht="13.5" customHeight="1">
      <c r="A193" s="366"/>
      <c r="B193" s="219"/>
      <c r="C193" s="219"/>
      <c r="D193" s="336" t="s">
        <v>374</v>
      </c>
      <c r="E193" s="349"/>
      <c r="F193" s="363">
        <f>(2.9)*2</f>
        <v>5.8</v>
      </c>
      <c r="G193" s="367"/>
      <c r="H193" s="367"/>
      <c r="I193" s="333"/>
      <c r="J193" s="368"/>
      <c r="K193" s="211"/>
      <c r="L193" s="211"/>
      <c r="M193" s="211"/>
      <c r="N193" s="211"/>
      <c r="O193" s="211"/>
      <c r="P193" s="211"/>
      <c r="Q193" s="211"/>
      <c r="R193" s="211"/>
      <c r="S193" s="211"/>
      <c r="T193" s="211"/>
      <c r="U193" s="211"/>
      <c r="V193" s="211"/>
      <c r="W193" s="211"/>
      <c r="X193" s="211"/>
      <c r="Y193" s="211"/>
      <c r="Z193" s="211"/>
      <c r="AA193" s="211"/>
      <c r="AB193" s="211"/>
      <c r="AC193" s="211"/>
      <c r="AD193" s="211"/>
      <c r="AE193" s="211"/>
      <c r="AF193" s="211"/>
      <c r="AG193" s="211"/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  <c r="BI193" s="211"/>
      <c r="BJ193" s="211"/>
      <c r="BK193" s="211"/>
      <c r="BL193" s="211"/>
      <c r="BM193" s="211"/>
      <c r="BN193" s="211"/>
      <c r="BO193" s="211"/>
      <c r="BP193" s="211"/>
      <c r="BQ193" s="211"/>
      <c r="BR193" s="211"/>
      <c r="BS193" s="211"/>
      <c r="BT193" s="211"/>
      <c r="BU193" s="211"/>
      <c r="BV193" s="211"/>
      <c r="BW193" s="211"/>
      <c r="BX193" s="211"/>
      <c r="BY193" s="211"/>
      <c r="BZ193" s="211"/>
      <c r="CA193" s="211"/>
      <c r="CB193" s="211"/>
      <c r="CC193" s="211"/>
      <c r="CD193" s="211"/>
      <c r="CE193" s="211"/>
      <c r="CF193" s="211"/>
      <c r="CG193" s="211"/>
      <c r="CH193" s="211"/>
      <c r="CI193" s="211"/>
      <c r="CJ193" s="211"/>
      <c r="CK193" s="211"/>
      <c r="CL193" s="211"/>
      <c r="CM193" s="211"/>
      <c r="CN193" s="211"/>
      <c r="CO193" s="211"/>
      <c r="CP193" s="211"/>
      <c r="CQ193" s="211"/>
      <c r="CR193" s="211"/>
      <c r="CS193" s="211"/>
      <c r="CT193" s="211"/>
      <c r="CU193" s="211"/>
      <c r="CV193" s="211"/>
      <c r="CW193" s="211"/>
    </row>
    <row r="194" spans="1:101" s="307" customFormat="1" ht="13.5" customHeight="1">
      <c r="A194" s="366"/>
      <c r="B194" s="219"/>
      <c r="C194" s="219"/>
      <c r="D194" s="336" t="s">
        <v>375</v>
      </c>
      <c r="E194" s="349"/>
      <c r="F194" s="363">
        <f>(3.65)*1</f>
        <v>3.65</v>
      </c>
      <c r="G194" s="367"/>
      <c r="H194" s="367"/>
      <c r="I194" s="333"/>
      <c r="J194" s="368"/>
      <c r="K194" s="211"/>
      <c r="L194" s="211"/>
      <c r="M194" s="211"/>
      <c r="N194" s="211"/>
      <c r="O194" s="211"/>
      <c r="P194" s="211"/>
      <c r="Q194" s="211"/>
      <c r="R194" s="211"/>
      <c r="S194" s="211"/>
      <c r="T194" s="211"/>
      <c r="U194" s="211"/>
      <c r="V194" s="211"/>
      <c r="W194" s="211"/>
      <c r="X194" s="211"/>
      <c r="Y194" s="211"/>
      <c r="Z194" s="211"/>
      <c r="AA194" s="211"/>
      <c r="AB194" s="211"/>
      <c r="AC194" s="211"/>
      <c r="AD194" s="211"/>
      <c r="AE194" s="211"/>
      <c r="AF194" s="211"/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  <c r="BI194" s="211"/>
      <c r="BJ194" s="211"/>
      <c r="BK194" s="211"/>
      <c r="BL194" s="211"/>
      <c r="BM194" s="211"/>
      <c r="BN194" s="211"/>
      <c r="BO194" s="211"/>
      <c r="BP194" s="211"/>
      <c r="BQ194" s="211"/>
      <c r="BR194" s="211"/>
      <c r="BS194" s="211"/>
      <c r="BT194" s="211"/>
      <c r="BU194" s="211"/>
      <c r="BV194" s="211"/>
      <c r="BW194" s="211"/>
      <c r="BX194" s="211"/>
      <c r="BY194" s="211"/>
      <c r="BZ194" s="211"/>
      <c r="CA194" s="211"/>
      <c r="CB194" s="211"/>
      <c r="CC194" s="211"/>
      <c r="CD194" s="211"/>
      <c r="CE194" s="211"/>
      <c r="CF194" s="211"/>
      <c r="CG194" s="211"/>
      <c r="CH194" s="211"/>
      <c r="CI194" s="211"/>
      <c r="CJ194" s="211"/>
      <c r="CK194" s="211"/>
      <c r="CL194" s="211"/>
      <c r="CM194" s="211"/>
      <c r="CN194" s="211"/>
      <c r="CO194" s="211"/>
      <c r="CP194" s="211"/>
      <c r="CQ194" s="211"/>
      <c r="CR194" s="211"/>
      <c r="CS194" s="211"/>
      <c r="CT194" s="211"/>
      <c r="CU194" s="211"/>
      <c r="CV194" s="211"/>
      <c r="CW194" s="211"/>
    </row>
    <row r="195" spans="1:101" s="307" customFormat="1" ht="13.5" customHeight="1">
      <c r="A195" s="366"/>
      <c r="B195" s="219"/>
      <c r="C195" s="219"/>
      <c r="D195" s="336" t="s">
        <v>376</v>
      </c>
      <c r="E195" s="349"/>
      <c r="F195" s="363">
        <f>(3.65)*1</f>
        <v>3.65</v>
      </c>
      <c r="G195" s="367"/>
      <c r="H195" s="367"/>
      <c r="I195" s="333"/>
      <c r="J195" s="368"/>
      <c r="K195" s="211"/>
      <c r="L195" s="211"/>
      <c r="M195" s="211"/>
      <c r="N195" s="211"/>
      <c r="O195" s="211"/>
      <c r="P195" s="211"/>
      <c r="Q195" s="211"/>
      <c r="R195" s="211"/>
      <c r="S195" s="211"/>
      <c r="T195" s="211"/>
      <c r="U195" s="211"/>
      <c r="V195" s="211"/>
      <c r="W195" s="211"/>
      <c r="X195" s="211"/>
      <c r="Y195" s="211"/>
      <c r="Z195" s="211"/>
      <c r="AA195" s="211"/>
      <c r="AB195" s="211"/>
      <c r="AC195" s="211"/>
      <c r="AD195" s="211"/>
      <c r="AE195" s="211"/>
      <c r="AF195" s="211"/>
      <c r="AG195" s="211"/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  <c r="BI195" s="211"/>
      <c r="BJ195" s="211"/>
      <c r="BK195" s="211"/>
      <c r="BL195" s="211"/>
      <c r="BM195" s="211"/>
      <c r="BN195" s="211"/>
      <c r="BO195" s="211"/>
      <c r="BP195" s="211"/>
      <c r="BQ195" s="211"/>
      <c r="BR195" s="211"/>
      <c r="BS195" s="211"/>
      <c r="BT195" s="211"/>
      <c r="BU195" s="211"/>
      <c r="BV195" s="211"/>
      <c r="BW195" s="211"/>
      <c r="BX195" s="211"/>
      <c r="BY195" s="211"/>
      <c r="BZ195" s="211"/>
      <c r="CA195" s="211"/>
      <c r="CB195" s="211"/>
      <c r="CC195" s="211"/>
      <c r="CD195" s="211"/>
      <c r="CE195" s="211"/>
      <c r="CF195" s="211"/>
      <c r="CG195" s="211"/>
      <c r="CH195" s="211"/>
      <c r="CI195" s="211"/>
      <c r="CJ195" s="211"/>
      <c r="CK195" s="211"/>
      <c r="CL195" s="211"/>
      <c r="CM195" s="211"/>
      <c r="CN195" s="211"/>
      <c r="CO195" s="211"/>
      <c r="CP195" s="211"/>
      <c r="CQ195" s="211"/>
      <c r="CR195" s="211"/>
      <c r="CS195" s="211"/>
      <c r="CT195" s="211"/>
      <c r="CU195" s="211"/>
      <c r="CV195" s="211"/>
      <c r="CW195" s="211"/>
    </row>
    <row r="196" spans="1:101" s="307" customFormat="1" ht="13.5" customHeight="1">
      <c r="A196" s="366"/>
      <c r="B196" s="219"/>
      <c r="C196" s="219"/>
      <c r="D196" s="336" t="s">
        <v>377</v>
      </c>
      <c r="E196" s="349"/>
      <c r="F196" s="363">
        <f>(3.65)*1</f>
        <v>3.65</v>
      </c>
      <c r="G196" s="367"/>
      <c r="H196" s="367"/>
      <c r="I196" s="333"/>
      <c r="J196" s="368"/>
      <c r="K196" s="211"/>
      <c r="L196" s="211"/>
      <c r="M196" s="211"/>
      <c r="N196" s="211"/>
      <c r="O196" s="211"/>
      <c r="P196" s="211"/>
      <c r="Q196" s="211"/>
      <c r="R196" s="211"/>
      <c r="S196" s="211"/>
      <c r="T196" s="211"/>
      <c r="U196" s="211"/>
      <c r="V196" s="211"/>
      <c r="W196" s="211"/>
      <c r="X196" s="211"/>
      <c r="Y196" s="211"/>
      <c r="Z196" s="211"/>
      <c r="AA196" s="211"/>
      <c r="AB196" s="211"/>
      <c r="AC196" s="211"/>
      <c r="AD196" s="211"/>
      <c r="AE196" s="211"/>
      <c r="AF196" s="211"/>
      <c r="AG196" s="211"/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  <c r="BI196" s="211"/>
      <c r="BJ196" s="211"/>
      <c r="BK196" s="211"/>
      <c r="BL196" s="211"/>
      <c r="BM196" s="211"/>
      <c r="BN196" s="211"/>
      <c r="BO196" s="211"/>
      <c r="BP196" s="211"/>
      <c r="BQ196" s="211"/>
      <c r="BR196" s="211"/>
      <c r="BS196" s="211"/>
      <c r="BT196" s="211"/>
      <c r="BU196" s="211"/>
      <c r="BV196" s="211"/>
      <c r="BW196" s="211"/>
      <c r="BX196" s="211"/>
      <c r="BY196" s="211"/>
      <c r="BZ196" s="211"/>
      <c r="CA196" s="211"/>
      <c r="CB196" s="211"/>
      <c r="CC196" s="211"/>
      <c r="CD196" s="211"/>
      <c r="CE196" s="211"/>
      <c r="CF196" s="211"/>
      <c r="CG196" s="211"/>
      <c r="CH196" s="211"/>
      <c r="CI196" s="211"/>
      <c r="CJ196" s="211"/>
      <c r="CK196" s="211"/>
      <c r="CL196" s="211"/>
      <c r="CM196" s="211"/>
      <c r="CN196" s="211"/>
      <c r="CO196" s="211"/>
      <c r="CP196" s="211"/>
      <c r="CQ196" s="211"/>
      <c r="CR196" s="211"/>
      <c r="CS196" s="211"/>
      <c r="CT196" s="211"/>
      <c r="CU196" s="211"/>
      <c r="CV196" s="211"/>
      <c r="CW196" s="211"/>
    </row>
    <row r="197" spans="1:101" s="307" customFormat="1" ht="13.5" customHeight="1">
      <c r="A197" s="334">
        <v>35</v>
      </c>
      <c r="B197" s="354" t="s">
        <v>194</v>
      </c>
      <c r="C197" s="335">
        <v>763111714</v>
      </c>
      <c r="D197" s="335" t="s">
        <v>371</v>
      </c>
      <c r="E197" s="335" t="s">
        <v>41</v>
      </c>
      <c r="F197" s="337">
        <f>SUM(F199:F199)</f>
        <v>3.65</v>
      </c>
      <c r="G197" s="355"/>
      <c r="H197" s="355">
        <f>F197*G197</f>
        <v>0</v>
      </c>
      <c r="I197" s="365" t="s">
        <v>31</v>
      </c>
      <c r="J197" s="207"/>
      <c r="K197" s="211"/>
      <c r="L197" s="211"/>
      <c r="M197" s="211"/>
      <c r="N197" s="211"/>
      <c r="O197" s="211"/>
      <c r="P197" s="211"/>
      <c r="Q197" s="211"/>
      <c r="R197" s="211"/>
      <c r="S197" s="211"/>
      <c r="T197" s="211"/>
      <c r="U197" s="211"/>
      <c r="V197" s="211"/>
      <c r="W197" s="211"/>
      <c r="X197" s="211"/>
      <c r="Y197" s="211"/>
      <c r="Z197" s="211"/>
      <c r="AA197" s="211"/>
      <c r="AB197" s="211"/>
      <c r="AC197" s="211"/>
      <c r="AD197" s="211"/>
      <c r="AE197" s="211"/>
      <c r="AF197" s="211"/>
      <c r="AG197" s="211"/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  <c r="BI197" s="211"/>
      <c r="BJ197" s="211"/>
      <c r="BK197" s="211"/>
      <c r="BL197" s="211"/>
      <c r="BM197" s="211"/>
      <c r="BN197" s="211"/>
      <c r="BO197" s="211"/>
      <c r="BP197" s="211"/>
      <c r="BQ197" s="211"/>
      <c r="BR197" s="211"/>
      <c r="BS197" s="211"/>
      <c r="BT197" s="211"/>
      <c r="BU197" s="211"/>
      <c r="BV197" s="211"/>
      <c r="BW197" s="211"/>
      <c r="BX197" s="211"/>
      <c r="BY197" s="211"/>
      <c r="BZ197" s="211"/>
      <c r="CA197" s="211"/>
      <c r="CB197" s="211"/>
      <c r="CC197" s="211"/>
      <c r="CD197" s="211"/>
      <c r="CE197" s="211"/>
      <c r="CF197" s="211"/>
      <c r="CG197" s="211"/>
      <c r="CH197" s="211"/>
      <c r="CI197" s="211"/>
      <c r="CJ197" s="211"/>
      <c r="CK197" s="211"/>
      <c r="CL197" s="211"/>
      <c r="CM197" s="211"/>
      <c r="CN197" s="211"/>
      <c r="CO197" s="211"/>
      <c r="CP197" s="211"/>
      <c r="CQ197" s="211"/>
      <c r="CR197" s="211"/>
      <c r="CS197" s="211"/>
      <c r="CT197" s="211"/>
      <c r="CU197" s="211"/>
      <c r="CV197" s="211"/>
      <c r="CW197" s="211"/>
    </row>
    <row r="198" spans="1:101" s="307" customFormat="1" ht="13.5" customHeight="1">
      <c r="A198" s="366"/>
      <c r="B198" s="219"/>
      <c r="C198" s="219"/>
      <c r="D198" s="336" t="s">
        <v>372</v>
      </c>
      <c r="E198" s="349"/>
      <c r="F198" s="363"/>
      <c r="G198" s="367"/>
      <c r="H198" s="367"/>
      <c r="I198" s="333"/>
      <c r="J198" s="384"/>
      <c r="K198" s="385"/>
      <c r="L198" s="385"/>
      <c r="M198" s="385"/>
      <c r="N198" s="385"/>
      <c r="O198" s="211"/>
      <c r="P198" s="211"/>
      <c r="Q198" s="211"/>
      <c r="R198" s="211"/>
      <c r="S198" s="211"/>
      <c r="T198" s="211"/>
      <c r="U198" s="211"/>
      <c r="V198" s="211"/>
      <c r="W198" s="211"/>
      <c r="X198" s="211"/>
      <c r="Y198" s="211"/>
      <c r="Z198" s="211"/>
      <c r="AA198" s="211"/>
      <c r="AB198" s="211"/>
      <c r="AC198" s="211"/>
      <c r="AD198" s="211"/>
      <c r="AE198" s="211"/>
      <c r="AF198" s="211"/>
      <c r="AG198" s="211"/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  <c r="BI198" s="211"/>
      <c r="BJ198" s="211"/>
      <c r="BK198" s="211"/>
      <c r="BL198" s="211"/>
      <c r="BM198" s="211"/>
      <c r="BN198" s="211"/>
      <c r="BO198" s="211"/>
      <c r="BP198" s="211"/>
      <c r="BQ198" s="211"/>
      <c r="BR198" s="211"/>
      <c r="BS198" s="211"/>
      <c r="BT198" s="211"/>
      <c r="BU198" s="211"/>
      <c r="BV198" s="211"/>
      <c r="BW198" s="211"/>
      <c r="BX198" s="211"/>
      <c r="BY198" s="211"/>
      <c r="BZ198" s="211"/>
      <c r="CA198" s="211"/>
      <c r="CB198" s="211"/>
      <c r="CC198" s="211"/>
      <c r="CD198" s="211"/>
      <c r="CE198" s="211"/>
      <c r="CF198" s="211"/>
      <c r="CG198" s="211"/>
      <c r="CH198" s="211"/>
      <c r="CI198" s="211"/>
      <c r="CJ198" s="211"/>
      <c r="CK198" s="211"/>
      <c r="CL198" s="211"/>
      <c r="CM198" s="211"/>
      <c r="CN198" s="211"/>
      <c r="CO198" s="211"/>
      <c r="CP198" s="211"/>
      <c r="CQ198" s="211"/>
      <c r="CR198" s="211"/>
      <c r="CS198" s="211"/>
      <c r="CT198" s="211"/>
      <c r="CU198" s="211"/>
      <c r="CV198" s="211"/>
      <c r="CW198" s="211"/>
    </row>
    <row r="199" spans="1:101" s="307" customFormat="1" ht="13.5" customHeight="1">
      <c r="A199" s="366"/>
      <c r="B199" s="219"/>
      <c r="C199" s="219"/>
      <c r="D199" s="336" t="s">
        <v>373</v>
      </c>
      <c r="E199" s="349"/>
      <c r="F199" s="363">
        <f>(3.65)*1</f>
        <v>3.65</v>
      </c>
      <c r="G199" s="367"/>
      <c r="H199" s="367"/>
      <c r="I199" s="333"/>
      <c r="J199" s="211"/>
      <c r="K199" s="211"/>
      <c r="L199" s="211"/>
      <c r="M199" s="211"/>
      <c r="N199" s="211"/>
      <c r="O199" s="211"/>
      <c r="P199" s="211"/>
      <c r="Q199" s="211"/>
      <c r="R199" s="211"/>
      <c r="S199" s="211"/>
      <c r="T199" s="211"/>
      <c r="U199" s="211"/>
      <c r="V199" s="211"/>
      <c r="W199" s="211"/>
      <c r="X199" s="211"/>
      <c r="Y199" s="211"/>
      <c r="Z199" s="211"/>
      <c r="AA199" s="211"/>
      <c r="AB199" s="211"/>
      <c r="AC199" s="211"/>
      <c r="AD199" s="211"/>
      <c r="AE199" s="211"/>
      <c r="AF199" s="211"/>
      <c r="AG199" s="211"/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  <c r="BI199" s="211"/>
      <c r="BJ199" s="211"/>
      <c r="BK199" s="211"/>
      <c r="BL199" s="211"/>
      <c r="BM199" s="211"/>
      <c r="BN199" s="211"/>
      <c r="BO199" s="211"/>
      <c r="BP199" s="211"/>
      <c r="BQ199" s="211"/>
      <c r="BR199" s="211"/>
      <c r="BS199" s="211"/>
      <c r="BT199" s="211"/>
      <c r="BU199" s="211"/>
      <c r="BV199" s="211"/>
      <c r="BW199" s="211"/>
      <c r="BX199" s="211"/>
      <c r="BY199" s="211"/>
      <c r="BZ199" s="211"/>
      <c r="CA199" s="211"/>
      <c r="CB199" s="211"/>
      <c r="CC199" s="211"/>
      <c r="CD199" s="211"/>
      <c r="CE199" s="211"/>
      <c r="CF199" s="211"/>
      <c r="CG199" s="211"/>
      <c r="CH199" s="211"/>
      <c r="CI199" s="211"/>
      <c r="CJ199" s="211"/>
      <c r="CK199" s="211"/>
      <c r="CL199" s="211"/>
      <c r="CM199" s="211"/>
      <c r="CN199" s="211"/>
      <c r="CO199" s="211"/>
      <c r="CP199" s="211"/>
      <c r="CQ199" s="211"/>
      <c r="CR199" s="211"/>
      <c r="CS199" s="211"/>
      <c r="CT199" s="211"/>
      <c r="CU199" s="211"/>
      <c r="CV199" s="211"/>
      <c r="CW199" s="211"/>
    </row>
    <row r="200" spans="1:101" s="38" customFormat="1" ht="13.5" customHeight="1">
      <c r="A200" s="67">
        <v>36</v>
      </c>
      <c r="B200" s="69" t="s">
        <v>194</v>
      </c>
      <c r="C200" s="69">
        <v>763111717</v>
      </c>
      <c r="D200" s="69" t="s">
        <v>202</v>
      </c>
      <c r="E200" s="69" t="s">
        <v>30</v>
      </c>
      <c r="F200" s="257">
        <f>SUM(F201:F201)</f>
        <v>174.74499999999998</v>
      </c>
      <c r="G200" s="71"/>
      <c r="H200" s="71">
        <f>F200*G200</f>
        <v>0</v>
      </c>
      <c r="I200" s="101" t="s">
        <v>31</v>
      </c>
      <c r="J200" s="312"/>
      <c r="K200" s="310"/>
      <c r="L200" s="298"/>
      <c r="M200" s="299"/>
      <c r="N200" s="300"/>
      <c r="O200" s="311"/>
      <c r="P200" s="207"/>
      <c r="Q200" s="207"/>
      <c r="R200" s="302"/>
    </row>
    <row r="201" spans="1:101" s="38" customFormat="1" ht="27" customHeight="1">
      <c r="A201" s="67"/>
      <c r="B201" s="69"/>
      <c r="C201" s="69"/>
      <c r="D201" s="111" t="s">
        <v>203</v>
      </c>
      <c r="E201" s="69"/>
      <c r="F201" s="269">
        <f>(5.93+43.89+43.81+43.72+27.17)+(3.47+3.47+3.285)</f>
        <v>174.74499999999998</v>
      </c>
      <c r="G201" s="71"/>
      <c r="H201" s="71"/>
      <c r="I201" s="101"/>
      <c r="J201" s="210"/>
    </row>
    <row r="202" spans="1:101" s="38" customFormat="1" ht="13.5" customHeight="1">
      <c r="A202" s="67">
        <v>37</v>
      </c>
      <c r="B202" s="69" t="s">
        <v>194</v>
      </c>
      <c r="C202" s="69">
        <v>763111723</v>
      </c>
      <c r="D202" s="69" t="s">
        <v>367</v>
      </c>
      <c r="E202" s="69" t="s">
        <v>41</v>
      </c>
      <c r="F202" s="257">
        <f>SUM(F204:F209)</f>
        <v>75.554999999999978</v>
      </c>
      <c r="G202" s="71"/>
      <c r="H202" s="71">
        <f>F202*G202</f>
        <v>0</v>
      </c>
      <c r="I202" s="101" t="s">
        <v>31</v>
      </c>
      <c r="J202" s="309"/>
      <c r="K202" s="310"/>
      <c r="L202" s="298"/>
      <c r="M202" s="299"/>
      <c r="N202" s="300"/>
      <c r="O202" s="311"/>
      <c r="P202" s="207"/>
      <c r="Q202" s="207"/>
      <c r="R202" s="302"/>
    </row>
    <row r="203" spans="1:101" s="38" customFormat="1" ht="13.5" customHeight="1">
      <c r="A203" s="67"/>
      <c r="B203" s="69"/>
      <c r="C203" s="69"/>
      <c r="D203" s="111" t="s">
        <v>368</v>
      </c>
      <c r="E203" s="69"/>
      <c r="G203" s="71"/>
      <c r="H203" s="71"/>
      <c r="I203" s="101"/>
      <c r="J203" s="210"/>
    </row>
    <row r="204" spans="1:101" s="38" customFormat="1" ht="13.5" customHeight="1">
      <c r="A204" s="67"/>
      <c r="B204" s="69"/>
      <c r="C204" s="69"/>
      <c r="D204" s="111" t="s">
        <v>421</v>
      </c>
      <c r="E204" s="69"/>
      <c r="F204" s="269">
        <f>(8*(2.9-2))*1.15</f>
        <v>8.2799999999999994</v>
      </c>
      <c r="G204" s="71"/>
      <c r="H204" s="71"/>
      <c r="I204" s="101"/>
      <c r="J204" s="210"/>
    </row>
    <row r="205" spans="1:101" s="38" customFormat="1" ht="13.5" customHeight="1">
      <c r="A205" s="67"/>
      <c r="B205" s="69"/>
      <c r="C205" s="69"/>
      <c r="D205" s="111" t="s">
        <v>422</v>
      </c>
      <c r="E205" s="69"/>
      <c r="F205" s="269">
        <f>(10*(3.65-2))*1.15</f>
        <v>18.974999999999998</v>
      </c>
      <c r="G205" s="71"/>
      <c r="H205" s="71"/>
      <c r="I205" s="101"/>
      <c r="J205" s="210"/>
    </row>
    <row r="206" spans="1:101" s="38" customFormat="1" ht="13.5" customHeight="1">
      <c r="A206" s="67"/>
      <c r="B206" s="69"/>
      <c r="C206" s="69"/>
      <c r="D206" s="111" t="s">
        <v>423</v>
      </c>
      <c r="E206" s="69"/>
      <c r="F206" s="269">
        <f>(10*(3.65-2))*1.15</f>
        <v>18.974999999999998</v>
      </c>
      <c r="G206" s="71"/>
      <c r="H206" s="71"/>
      <c r="I206" s="101"/>
      <c r="J206" s="210"/>
    </row>
    <row r="207" spans="1:101" s="38" customFormat="1" ht="13.5" customHeight="1">
      <c r="A207" s="67"/>
      <c r="B207" s="69"/>
      <c r="C207" s="69"/>
      <c r="D207" s="111" t="s">
        <v>424</v>
      </c>
      <c r="E207" s="69"/>
      <c r="F207" s="269">
        <f>(10*(3.65-2))*1.15</f>
        <v>18.974999999999998</v>
      </c>
      <c r="G207" s="71"/>
      <c r="H207" s="71"/>
      <c r="I207" s="101"/>
      <c r="J207" s="210"/>
    </row>
    <row r="208" spans="1:101" s="38" customFormat="1" ht="13.5" customHeight="1">
      <c r="A208" s="67"/>
      <c r="B208" s="69"/>
      <c r="C208" s="69"/>
      <c r="D208" s="111" t="s">
        <v>425</v>
      </c>
      <c r="E208" s="69"/>
      <c r="F208" s="269">
        <f>(5*(3.65-2))*1.15</f>
        <v>9.4874999999999989</v>
      </c>
      <c r="G208" s="71"/>
      <c r="H208" s="71"/>
      <c r="I208" s="101"/>
      <c r="J208" s="210"/>
    </row>
    <row r="209" spans="1:101" s="38" customFormat="1" ht="13.5" customHeight="1">
      <c r="A209" s="67"/>
      <c r="B209" s="69"/>
      <c r="C209" s="69"/>
      <c r="D209" s="111" t="s">
        <v>426</v>
      </c>
      <c r="E209" s="69"/>
      <c r="F209" s="269">
        <f>(1*(2.75-2))*1.15</f>
        <v>0.86249999999999993</v>
      </c>
      <c r="G209" s="71"/>
      <c r="H209" s="71"/>
      <c r="I209" s="101"/>
      <c r="J209" s="210"/>
    </row>
    <row r="210" spans="1:101" s="3" customFormat="1" ht="13.5" customHeight="1">
      <c r="A210" s="67">
        <v>38</v>
      </c>
      <c r="B210" s="69" t="s">
        <v>194</v>
      </c>
      <c r="C210" s="69">
        <v>763121465</v>
      </c>
      <c r="D210" s="69" t="s">
        <v>204</v>
      </c>
      <c r="E210" s="69" t="s">
        <v>30</v>
      </c>
      <c r="F210" s="100">
        <f>SUM(F212:F217)</f>
        <v>49.574199999999998</v>
      </c>
      <c r="G210" s="71"/>
      <c r="H210" s="71">
        <f>F210*G210</f>
        <v>0</v>
      </c>
      <c r="I210" s="101" t="s">
        <v>31</v>
      </c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E210" s="38"/>
      <c r="BF210" s="38"/>
      <c r="BG210" s="38"/>
      <c r="BH210" s="38"/>
      <c r="BI210" s="38"/>
      <c r="BJ210" s="38"/>
      <c r="BK210" s="38"/>
      <c r="BL210" s="38"/>
      <c r="BM210" s="38"/>
      <c r="BN210" s="38"/>
      <c r="BO210" s="38"/>
      <c r="BP210" s="38"/>
      <c r="BQ210" s="38"/>
      <c r="BR210" s="38"/>
      <c r="BS210" s="38"/>
      <c r="BT210" s="38"/>
      <c r="BU210" s="38"/>
      <c r="BV210" s="38"/>
      <c r="BW210" s="38"/>
      <c r="BX210" s="38"/>
      <c r="BY210" s="38"/>
      <c r="BZ210" s="38"/>
      <c r="CA210" s="38"/>
      <c r="CB210" s="38"/>
      <c r="CC210" s="38"/>
      <c r="CD210" s="38"/>
      <c r="CE210" s="38"/>
      <c r="CF210" s="38"/>
      <c r="CG210" s="38"/>
      <c r="CH210" s="38"/>
      <c r="CI210" s="38"/>
      <c r="CJ210" s="38"/>
      <c r="CK210" s="38"/>
      <c r="CL210" s="38"/>
      <c r="CM210" s="38"/>
      <c r="CN210" s="38"/>
      <c r="CO210" s="38"/>
      <c r="CP210" s="38"/>
      <c r="CQ210" s="38"/>
      <c r="CR210" s="38"/>
      <c r="CS210" s="38"/>
      <c r="CT210" s="38"/>
      <c r="CU210" s="38"/>
      <c r="CV210" s="38"/>
      <c r="CW210" s="38"/>
    </row>
    <row r="211" spans="1:101" s="3" customFormat="1" ht="13.5" customHeight="1">
      <c r="A211" s="67"/>
      <c r="B211" s="114"/>
      <c r="C211" s="114"/>
      <c r="D211" s="76" t="s">
        <v>197</v>
      </c>
      <c r="E211" s="114"/>
      <c r="F211" s="77"/>
      <c r="G211" s="144"/>
      <c r="H211" s="71"/>
      <c r="I211" s="110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F211" s="38"/>
      <c r="BG211" s="38"/>
      <c r="BH211" s="38"/>
      <c r="BI211" s="38"/>
      <c r="BJ211" s="38"/>
      <c r="BK211" s="38"/>
      <c r="BL211" s="38"/>
      <c r="BM211" s="38"/>
      <c r="BN211" s="38"/>
      <c r="BO211" s="38"/>
      <c r="BP211" s="38"/>
      <c r="BQ211" s="38"/>
      <c r="BR211" s="38"/>
      <c r="BS211" s="38"/>
      <c r="BT211" s="38"/>
      <c r="BU211" s="38"/>
      <c r="BV211" s="38"/>
      <c r="BW211" s="38"/>
      <c r="BX211" s="38"/>
      <c r="BY211" s="38"/>
      <c r="BZ211" s="38"/>
      <c r="CA211" s="38"/>
      <c r="CB211" s="38"/>
      <c r="CC211" s="38"/>
      <c r="CD211" s="38"/>
      <c r="CE211" s="38"/>
      <c r="CF211" s="38"/>
      <c r="CG211" s="38"/>
      <c r="CH211" s="38"/>
      <c r="CI211" s="38"/>
      <c r="CJ211" s="38"/>
      <c r="CK211" s="38"/>
      <c r="CL211" s="38"/>
      <c r="CM211" s="38"/>
      <c r="CN211" s="38"/>
      <c r="CO211" s="38"/>
      <c r="CP211" s="38"/>
      <c r="CQ211" s="38"/>
      <c r="CR211" s="38"/>
      <c r="CS211" s="38"/>
      <c r="CT211" s="38"/>
      <c r="CU211" s="38"/>
      <c r="CV211" s="38"/>
      <c r="CW211" s="38"/>
    </row>
    <row r="212" spans="1:101" s="3" customFormat="1" ht="13.5" customHeight="1">
      <c r="A212" s="67"/>
      <c r="B212" s="68"/>
      <c r="C212" s="69"/>
      <c r="D212" s="76" t="s">
        <v>427</v>
      </c>
      <c r="E212" s="69"/>
      <c r="F212" s="77">
        <f>(2.885)*1.15</f>
        <v>3.3177499999999993</v>
      </c>
      <c r="G212" s="71"/>
      <c r="H212" s="71"/>
      <c r="I212" s="101"/>
      <c r="J212" s="370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  <c r="AS212" s="38"/>
      <c r="AT212" s="38"/>
      <c r="AU212" s="38"/>
      <c r="AV212" s="38"/>
      <c r="AW212" s="38"/>
      <c r="AX212" s="38"/>
      <c r="AY212" s="38"/>
      <c r="AZ212" s="38"/>
      <c r="BA212" s="38"/>
      <c r="BB212" s="38"/>
      <c r="BC212" s="38"/>
      <c r="BD212" s="38"/>
      <c r="BE212" s="38"/>
      <c r="BF212" s="38"/>
      <c r="BG212" s="38"/>
      <c r="BH212" s="38"/>
      <c r="BI212" s="38"/>
      <c r="BJ212" s="38"/>
      <c r="BK212" s="38"/>
      <c r="BL212" s="38"/>
      <c r="BM212" s="38"/>
      <c r="BN212" s="38"/>
      <c r="BO212" s="38"/>
      <c r="BP212" s="38"/>
      <c r="BQ212" s="38"/>
      <c r="BR212" s="38"/>
      <c r="BS212" s="38"/>
      <c r="BT212" s="38"/>
      <c r="BU212" s="38"/>
      <c r="BV212" s="38"/>
      <c r="BW212" s="38"/>
      <c r="BX212" s="38"/>
      <c r="BY212" s="38"/>
      <c r="BZ212" s="38"/>
      <c r="CA212" s="38"/>
      <c r="CB212" s="38"/>
      <c r="CC212" s="38"/>
      <c r="CD212" s="38"/>
      <c r="CE212" s="38"/>
      <c r="CF212" s="38"/>
      <c r="CG212" s="38"/>
      <c r="CH212" s="38"/>
      <c r="CI212" s="38"/>
      <c r="CJ212" s="38"/>
      <c r="CK212" s="38"/>
      <c r="CL212" s="38"/>
      <c r="CM212" s="38"/>
      <c r="CN212" s="38"/>
      <c r="CO212" s="38"/>
      <c r="CP212" s="38"/>
      <c r="CQ212" s="38"/>
      <c r="CR212" s="38"/>
      <c r="CS212" s="38"/>
      <c r="CT212" s="38"/>
      <c r="CU212" s="38"/>
      <c r="CV212" s="38"/>
      <c r="CW212" s="38"/>
    </row>
    <row r="213" spans="1:101" s="3" customFormat="1" ht="13.5" customHeight="1">
      <c r="A213" s="67"/>
      <c r="B213" s="68"/>
      <c r="C213" s="69"/>
      <c r="D213" s="76" t="s">
        <v>428</v>
      </c>
      <c r="E213" s="69"/>
      <c r="F213" s="77">
        <f>(12.822)*1.15</f>
        <v>14.745299999999999</v>
      </c>
      <c r="G213" s="71"/>
      <c r="H213" s="71"/>
      <c r="I213" s="101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  <c r="AS213" s="38"/>
      <c r="AT213" s="38"/>
      <c r="AU213" s="38"/>
      <c r="AV213" s="38"/>
      <c r="AW213" s="38"/>
      <c r="AX213" s="38"/>
      <c r="AY213" s="38"/>
      <c r="AZ213" s="38"/>
      <c r="BA213" s="38"/>
      <c r="BB213" s="38"/>
      <c r="BC213" s="38"/>
      <c r="BD213" s="38"/>
      <c r="BE213" s="38"/>
      <c r="BF213" s="38"/>
      <c r="BG213" s="38"/>
      <c r="BH213" s="38"/>
      <c r="BI213" s="38"/>
      <c r="BJ213" s="38"/>
      <c r="BK213" s="38"/>
      <c r="BL213" s="38"/>
      <c r="BM213" s="38"/>
      <c r="BN213" s="38"/>
      <c r="BO213" s="38"/>
      <c r="BP213" s="38"/>
      <c r="BQ213" s="38"/>
      <c r="BR213" s="38"/>
      <c r="BS213" s="38"/>
      <c r="BT213" s="38"/>
      <c r="BU213" s="38"/>
      <c r="BV213" s="38"/>
      <c r="BW213" s="38"/>
      <c r="BX213" s="38"/>
      <c r="BY213" s="38"/>
      <c r="BZ213" s="38"/>
      <c r="CA213" s="38"/>
      <c r="CB213" s="38"/>
      <c r="CC213" s="38"/>
      <c r="CD213" s="38"/>
      <c r="CE213" s="38"/>
      <c r="CF213" s="38"/>
      <c r="CG213" s="38"/>
      <c r="CH213" s="38"/>
      <c r="CI213" s="38"/>
      <c r="CJ213" s="38"/>
      <c r="CK213" s="38"/>
      <c r="CL213" s="38"/>
      <c r="CM213" s="38"/>
      <c r="CN213" s="38"/>
      <c r="CO213" s="38"/>
      <c r="CP213" s="38"/>
      <c r="CQ213" s="38"/>
      <c r="CR213" s="38"/>
      <c r="CS213" s="38"/>
      <c r="CT213" s="38"/>
      <c r="CU213" s="38"/>
      <c r="CV213" s="38"/>
      <c r="CW213" s="38"/>
    </row>
    <row r="214" spans="1:101" s="3" customFormat="1" ht="13.5" customHeight="1">
      <c r="A214" s="67"/>
      <c r="B214" s="68"/>
      <c r="C214" s="69"/>
      <c r="D214" s="76" t="s">
        <v>429</v>
      </c>
      <c r="E214" s="69"/>
      <c r="F214" s="77">
        <f>(10.754)*1.15</f>
        <v>12.367099999999999</v>
      </c>
      <c r="G214" s="71"/>
      <c r="H214" s="71"/>
      <c r="I214" s="101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F214" s="38"/>
      <c r="AG214" s="38"/>
      <c r="AH214" s="38"/>
      <c r="AI214" s="38"/>
      <c r="AJ214" s="38"/>
      <c r="AK214" s="38"/>
      <c r="AL214" s="38"/>
      <c r="AM214" s="38"/>
      <c r="AN214" s="38"/>
      <c r="AO214" s="38"/>
      <c r="AP214" s="38"/>
      <c r="AQ214" s="38"/>
      <c r="AR214" s="38"/>
      <c r="AS214" s="38"/>
      <c r="AT214" s="38"/>
      <c r="AU214" s="38"/>
      <c r="AV214" s="38"/>
      <c r="AW214" s="38"/>
      <c r="AX214" s="38"/>
      <c r="AY214" s="38"/>
      <c r="AZ214" s="38"/>
      <c r="BA214" s="38"/>
      <c r="BB214" s="38"/>
      <c r="BC214" s="38"/>
      <c r="BD214" s="38"/>
      <c r="BE214" s="38"/>
      <c r="BF214" s="38"/>
      <c r="BG214" s="38"/>
      <c r="BH214" s="38"/>
      <c r="BI214" s="38"/>
      <c r="BJ214" s="38"/>
      <c r="BK214" s="38"/>
      <c r="BL214" s="38"/>
      <c r="BM214" s="38"/>
      <c r="BN214" s="38"/>
      <c r="BO214" s="38"/>
      <c r="BP214" s="38"/>
      <c r="BQ214" s="38"/>
      <c r="BR214" s="38"/>
      <c r="BS214" s="38"/>
      <c r="BT214" s="38"/>
      <c r="BU214" s="38"/>
      <c r="BV214" s="38"/>
      <c r="BW214" s="38"/>
      <c r="BX214" s="38"/>
      <c r="BY214" s="38"/>
      <c r="BZ214" s="38"/>
      <c r="CA214" s="38"/>
      <c r="CB214" s="38"/>
      <c r="CC214" s="38"/>
      <c r="CD214" s="38"/>
      <c r="CE214" s="38"/>
      <c r="CF214" s="38"/>
      <c r="CG214" s="38"/>
      <c r="CH214" s="38"/>
      <c r="CI214" s="38"/>
      <c r="CJ214" s="38"/>
      <c r="CK214" s="38"/>
      <c r="CL214" s="38"/>
      <c r="CM214" s="38"/>
      <c r="CN214" s="38"/>
      <c r="CO214" s="38"/>
      <c r="CP214" s="38"/>
      <c r="CQ214" s="38"/>
      <c r="CR214" s="38"/>
      <c r="CS214" s="38"/>
      <c r="CT214" s="38"/>
      <c r="CU214" s="38"/>
      <c r="CV214" s="38"/>
      <c r="CW214" s="38"/>
    </row>
    <row r="215" spans="1:101" s="3" customFormat="1" ht="13.5" customHeight="1">
      <c r="A215" s="67"/>
      <c r="B215" s="68"/>
      <c r="C215" s="69"/>
      <c r="D215" s="76" t="s">
        <v>430</v>
      </c>
      <c r="E215" s="69"/>
      <c r="F215" s="77">
        <f>(12.215)*1.15</f>
        <v>14.047249999999998</v>
      </c>
      <c r="G215" s="71"/>
      <c r="H215" s="71"/>
      <c r="I215" s="101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  <c r="AJ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38"/>
      <c r="BH215" s="38"/>
      <c r="BI215" s="38"/>
      <c r="BJ215" s="38"/>
      <c r="BK215" s="38"/>
      <c r="BL215" s="38"/>
      <c r="BM215" s="38"/>
      <c r="BN215" s="38"/>
      <c r="BO215" s="38"/>
      <c r="BP215" s="38"/>
      <c r="BQ215" s="38"/>
      <c r="BR215" s="38"/>
      <c r="BS215" s="38"/>
      <c r="BT215" s="38"/>
      <c r="BU215" s="38"/>
      <c r="BV215" s="38"/>
      <c r="BW215" s="38"/>
      <c r="BX215" s="38"/>
      <c r="BY215" s="38"/>
      <c r="BZ215" s="38"/>
      <c r="CA215" s="38"/>
      <c r="CB215" s="38"/>
      <c r="CC215" s="38"/>
      <c r="CD215" s="38"/>
      <c r="CE215" s="38"/>
      <c r="CF215" s="38"/>
      <c r="CG215" s="38"/>
      <c r="CH215" s="38"/>
      <c r="CI215" s="38"/>
      <c r="CJ215" s="38"/>
      <c r="CK215" s="38"/>
      <c r="CL215" s="38"/>
      <c r="CM215" s="38"/>
      <c r="CN215" s="38"/>
      <c r="CO215" s="38"/>
      <c r="CP215" s="38"/>
      <c r="CQ215" s="38"/>
      <c r="CR215" s="38"/>
      <c r="CS215" s="38"/>
      <c r="CT215" s="38"/>
      <c r="CU215" s="38"/>
      <c r="CV215" s="38"/>
      <c r="CW215" s="38"/>
    </row>
    <row r="216" spans="1:101" s="3" customFormat="1" ht="13.5" customHeight="1">
      <c r="A216" s="67"/>
      <c r="B216" s="68"/>
      <c r="C216" s="69"/>
      <c r="D216" s="76" t="s">
        <v>431</v>
      </c>
      <c r="E216" s="69"/>
      <c r="F216" s="77">
        <f>(4.262)*1.15</f>
        <v>4.9012999999999991</v>
      </c>
      <c r="G216" s="71"/>
      <c r="H216" s="71"/>
      <c r="I216" s="101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  <c r="BK216" s="38"/>
      <c r="BL216" s="38"/>
      <c r="BM216" s="38"/>
      <c r="BN216" s="38"/>
      <c r="BO216" s="38"/>
      <c r="BP216" s="38"/>
      <c r="BQ216" s="38"/>
      <c r="BR216" s="38"/>
      <c r="BS216" s="38"/>
      <c r="BT216" s="38"/>
      <c r="BU216" s="38"/>
      <c r="BV216" s="38"/>
      <c r="BW216" s="38"/>
      <c r="BX216" s="38"/>
      <c r="BY216" s="38"/>
      <c r="BZ216" s="38"/>
      <c r="CA216" s="38"/>
      <c r="CB216" s="38"/>
      <c r="CC216" s="38"/>
      <c r="CD216" s="38"/>
      <c r="CE216" s="38"/>
      <c r="CF216" s="38"/>
      <c r="CG216" s="38"/>
      <c r="CH216" s="38"/>
      <c r="CI216" s="38"/>
      <c r="CJ216" s="38"/>
      <c r="CK216" s="38"/>
      <c r="CL216" s="38"/>
      <c r="CM216" s="38"/>
      <c r="CN216" s="38"/>
      <c r="CO216" s="38"/>
      <c r="CP216" s="38"/>
      <c r="CQ216" s="38"/>
      <c r="CR216" s="38"/>
      <c r="CS216" s="38"/>
      <c r="CT216" s="38"/>
      <c r="CU216" s="38"/>
      <c r="CV216" s="38"/>
      <c r="CW216" s="38"/>
    </row>
    <row r="217" spans="1:101" s="3" customFormat="1" ht="13.5" customHeight="1">
      <c r="A217" s="67"/>
      <c r="B217" s="68"/>
      <c r="C217" s="69"/>
      <c r="D217" s="76" t="s">
        <v>432</v>
      </c>
      <c r="E217" s="69"/>
      <c r="F217" s="77">
        <f>(0.11+0.06)*1.15</f>
        <v>0.19549999999999998</v>
      </c>
      <c r="G217" s="71"/>
      <c r="H217" s="71"/>
      <c r="I217" s="101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F217" s="38"/>
      <c r="AG217" s="38"/>
      <c r="AH217" s="38"/>
      <c r="AI217" s="38"/>
      <c r="AJ217" s="38"/>
      <c r="AK217" s="38"/>
      <c r="AL217" s="38"/>
      <c r="AM217" s="38"/>
      <c r="AN217" s="38"/>
      <c r="AO217" s="38"/>
      <c r="AP217" s="38"/>
      <c r="AQ217" s="38"/>
      <c r="AR217" s="38"/>
      <c r="AS217" s="38"/>
      <c r="AT217" s="38"/>
      <c r="AU217" s="38"/>
      <c r="AV217" s="38"/>
      <c r="AW217" s="38"/>
      <c r="AX217" s="38"/>
      <c r="AY217" s="38"/>
      <c r="AZ217" s="38"/>
      <c r="BA217" s="38"/>
      <c r="BB217" s="38"/>
      <c r="BC217" s="38"/>
      <c r="BD217" s="38"/>
      <c r="BE217" s="38"/>
      <c r="BF217" s="38"/>
      <c r="BG217" s="38"/>
      <c r="BH217" s="38"/>
      <c r="BI217" s="38"/>
      <c r="BJ217" s="38"/>
      <c r="BK217" s="38"/>
      <c r="BL217" s="38"/>
      <c r="BM217" s="38"/>
      <c r="BN217" s="38"/>
      <c r="BO217" s="38"/>
      <c r="BP217" s="38"/>
      <c r="BQ217" s="38"/>
      <c r="BR217" s="38"/>
      <c r="BS217" s="38"/>
      <c r="BT217" s="38"/>
      <c r="BU217" s="38"/>
      <c r="BV217" s="38"/>
      <c r="BW217" s="38"/>
      <c r="BX217" s="38"/>
      <c r="BY217" s="38"/>
      <c r="BZ217" s="38"/>
      <c r="CA217" s="38"/>
      <c r="CB217" s="38"/>
      <c r="CC217" s="38"/>
      <c r="CD217" s="38"/>
      <c r="CE217" s="38"/>
      <c r="CF217" s="38"/>
      <c r="CG217" s="38"/>
      <c r="CH217" s="38"/>
      <c r="CI217" s="38"/>
      <c r="CJ217" s="38"/>
      <c r="CK217" s="38"/>
      <c r="CL217" s="38"/>
      <c r="CM217" s="38"/>
      <c r="CN217" s="38"/>
      <c r="CO217" s="38"/>
      <c r="CP217" s="38"/>
      <c r="CQ217" s="38"/>
      <c r="CR217" s="38"/>
      <c r="CS217" s="38"/>
      <c r="CT217" s="38"/>
      <c r="CU217" s="38"/>
      <c r="CV217" s="38"/>
      <c r="CW217" s="38"/>
    </row>
    <row r="218" spans="1:101" s="3" customFormat="1" ht="40.5" customHeight="1">
      <c r="A218" s="67"/>
      <c r="B218" s="68"/>
      <c r="C218" s="69"/>
      <c r="D218" s="76" t="s">
        <v>198</v>
      </c>
      <c r="E218" s="69"/>
      <c r="F218" s="270"/>
      <c r="G218" s="71"/>
      <c r="H218" s="71"/>
      <c r="I218" s="110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F218" s="38"/>
      <c r="AG218" s="38"/>
      <c r="AH218" s="38"/>
      <c r="AI218" s="38"/>
      <c r="AJ218" s="38"/>
      <c r="AK218" s="38"/>
      <c r="AL218" s="38"/>
      <c r="AM218" s="38"/>
      <c r="AN218" s="38"/>
      <c r="AO218" s="38"/>
      <c r="AP218" s="38"/>
      <c r="AQ218" s="38"/>
      <c r="AR218" s="38"/>
      <c r="AS218" s="38"/>
      <c r="AT218" s="38"/>
      <c r="AU218" s="38"/>
      <c r="AV218" s="38"/>
      <c r="AW218" s="38"/>
      <c r="AX218" s="38"/>
      <c r="AY218" s="38"/>
      <c r="AZ218" s="38"/>
      <c r="BA218" s="38"/>
      <c r="BB218" s="38"/>
      <c r="BC218" s="38"/>
      <c r="BD218" s="38"/>
      <c r="BE218" s="38"/>
      <c r="BF218" s="38"/>
      <c r="BG218" s="38"/>
      <c r="BH218" s="38"/>
      <c r="BI218" s="38"/>
      <c r="BJ218" s="38"/>
      <c r="BK218" s="38"/>
      <c r="BL218" s="38"/>
      <c r="BM218" s="38"/>
      <c r="BN218" s="38"/>
      <c r="BO218" s="38"/>
      <c r="BP218" s="38"/>
      <c r="BQ218" s="38"/>
      <c r="BR218" s="38"/>
      <c r="BS218" s="38"/>
      <c r="BT218" s="38"/>
      <c r="BU218" s="38"/>
      <c r="BV218" s="38"/>
      <c r="BW218" s="38"/>
      <c r="BX218" s="38"/>
      <c r="BY218" s="38"/>
      <c r="BZ218" s="38"/>
      <c r="CA218" s="38"/>
      <c r="CB218" s="38"/>
      <c r="CC218" s="38"/>
      <c r="CD218" s="38"/>
      <c r="CE218" s="38"/>
      <c r="CF218" s="38"/>
      <c r="CG218" s="38"/>
      <c r="CH218" s="38"/>
      <c r="CI218" s="38"/>
      <c r="CJ218" s="38"/>
      <c r="CK218" s="38"/>
      <c r="CL218" s="38"/>
      <c r="CM218" s="38"/>
      <c r="CN218" s="38"/>
      <c r="CO218" s="38"/>
      <c r="CP218" s="38"/>
      <c r="CQ218" s="38"/>
      <c r="CR218" s="38"/>
      <c r="CS218" s="38"/>
      <c r="CT218" s="38"/>
      <c r="CU218" s="38"/>
      <c r="CV218" s="38"/>
      <c r="CW218" s="38"/>
    </row>
    <row r="219" spans="1:101" s="3" customFormat="1" ht="13.5" customHeight="1">
      <c r="A219" s="67">
        <v>39</v>
      </c>
      <c r="B219" s="69" t="s">
        <v>194</v>
      </c>
      <c r="C219" s="69" t="s">
        <v>205</v>
      </c>
      <c r="D219" s="69" t="s">
        <v>206</v>
      </c>
      <c r="E219" s="69" t="s">
        <v>30</v>
      </c>
      <c r="F219" s="100">
        <f>SUM(F221:F221)</f>
        <v>6.9253</v>
      </c>
      <c r="G219" s="71"/>
      <c r="H219" s="71">
        <f>F219*G219</f>
        <v>0</v>
      </c>
      <c r="I219" s="101" t="s">
        <v>57</v>
      </c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  <c r="AJ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  <c r="BK219" s="38"/>
      <c r="BL219" s="38"/>
      <c r="BM219" s="38"/>
      <c r="BN219" s="38"/>
      <c r="BO219" s="38"/>
      <c r="BP219" s="38"/>
      <c r="BQ219" s="38"/>
      <c r="BR219" s="38"/>
      <c r="BS219" s="38"/>
      <c r="BT219" s="38"/>
      <c r="BU219" s="38"/>
      <c r="BV219" s="38"/>
      <c r="BW219" s="38"/>
      <c r="BX219" s="38"/>
      <c r="BY219" s="38"/>
      <c r="BZ219" s="38"/>
      <c r="CA219" s="38"/>
      <c r="CB219" s="38"/>
      <c r="CC219" s="38"/>
      <c r="CD219" s="38"/>
      <c r="CE219" s="38"/>
      <c r="CF219" s="38"/>
      <c r="CG219" s="38"/>
      <c r="CH219" s="38"/>
      <c r="CI219" s="38"/>
      <c r="CJ219" s="38"/>
      <c r="CK219" s="38"/>
      <c r="CL219" s="38"/>
      <c r="CM219" s="38"/>
      <c r="CN219" s="38"/>
      <c r="CO219" s="38"/>
      <c r="CP219" s="38"/>
      <c r="CQ219" s="38"/>
      <c r="CR219" s="38"/>
      <c r="CS219" s="38"/>
      <c r="CT219" s="38"/>
      <c r="CU219" s="38"/>
      <c r="CV219" s="38"/>
      <c r="CW219" s="38"/>
    </row>
    <row r="220" spans="1:101" s="3" customFormat="1" ht="13.5" customHeight="1">
      <c r="A220" s="67"/>
      <c r="B220" s="114"/>
      <c r="C220" s="114"/>
      <c r="D220" s="76" t="s">
        <v>207</v>
      </c>
      <c r="E220" s="114"/>
      <c r="F220" s="77"/>
      <c r="G220" s="144"/>
      <c r="H220" s="71"/>
      <c r="I220" s="110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F220" s="38"/>
      <c r="AG220" s="38"/>
      <c r="AH220" s="38"/>
      <c r="AI220" s="38"/>
      <c r="AJ220" s="38"/>
      <c r="AK220" s="38"/>
      <c r="AL220" s="38"/>
      <c r="AM220" s="38"/>
      <c r="AN220" s="38"/>
      <c r="AO220" s="38"/>
      <c r="AP220" s="38"/>
      <c r="AQ220" s="38"/>
      <c r="AR220" s="38"/>
      <c r="AS220" s="38"/>
      <c r="AT220" s="38"/>
      <c r="AU220" s="38"/>
      <c r="AV220" s="38"/>
      <c r="AW220" s="38"/>
      <c r="AX220" s="38"/>
      <c r="AY220" s="38"/>
      <c r="AZ220" s="38"/>
      <c r="BA220" s="38"/>
      <c r="BB220" s="38"/>
      <c r="BC220" s="38"/>
      <c r="BD220" s="38"/>
      <c r="BE220" s="38"/>
      <c r="BF220" s="38"/>
      <c r="BG220" s="38"/>
      <c r="BH220" s="38"/>
      <c r="BI220" s="38"/>
      <c r="BJ220" s="38"/>
      <c r="BK220" s="38"/>
      <c r="BL220" s="38"/>
      <c r="BM220" s="38"/>
      <c r="BN220" s="38"/>
      <c r="BO220" s="38"/>
      <c r="BP220" s="38"/>
      <c r="BQ220" s="38"/>
      <c r="BR220" s="38"/>
      <c r="BS220" s="38"/>
      <c r="BT220" s="38"/>
      <c r="BU220" s="38"/>
      <c r="BV220" s="38"/>
      <c r="BW220" s="38"/>
      <c r="BX220" s="38"/>
      <c r="BY220" s="38"/>
      <c r="BZ220" s="38"/>
      <c r="CA220" s="38"/>
      <c r="CB220" s="38"/>
      <c r="CC220" s="38"/>
      <c r="CD220" s="38"/>
      <c r="CE220" s="38"/>
      <c r="CF220" s="38"/>
      <c r="CG220" s="38"/>
      <c r="CH220" s="38"/>
      <c r="CI220" s="38"/>
      <c r="CJ220" s="38"/>
      <c r="CK220" s="38"/>
      <c r="CL220" s="38"/>
      <c r="CM220" s="38"/>
      <c r="CN220" s="38"/>
      <c r="CO220" s="38"/>
      <c r="CP220" s="38"/>
      <c r="CQ220" s="38"/>
      <c r="CR220" s="38"/>
      <c r="CS220" s="38"/>
      <c r="CT220" s="38"/>
      <c r="CU220" s="38"/>
      <c r="CV220" s="38"/>
      <c r="CW220" s="38"/>
    </row>
    <row r="221" spans="1:101" s="3" customFormat="1" ht="13.5" customHeight="1">
      <c r="A221" s="67"/>
      <c r="B221" s="68"/>
      <c r="C221" s="69"/>
      <c r="D221" s="76" t="s">
        <v>433</v>
      </c>
      <c r="E221" s="69"/>
      <c r="F221" s="77">
        <f>(6.022)*1.15</f>
        <v>6.9253</v>
      </c>
      <c r="G221" s="71"/>
      <c r="H221" s="71"/>
      <c r="I221" s="101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F221" s="38"/>
      <c r="AG221" s="38"/>
      <c r="AH221" s="38"/>
      <c r="AI221" s="38"/>
      <c r="AJ221" s="38"/>
      <c r="AK221" s="38"/>
      <c r="AL221" s="38"/>
      <c r="AM221" s="38"/>
      <c r="AN221" s="38"/>
      <c r="AO221" s="38"/>
      <c r="AP221" s="38"/>
      <c r="AQ221" s="38"/>
      <c r="AR221" s="38"/>
      <c r="AS221" s="38"/>
      <c r="AT221" s="38"/>
      <c r="AU221" s="38"/>
      <c r="AV221" s="38"/>
      <c r="AW221" s="38"/>
      <c r="AX221" s="38"/>
      <c r="AY221" s="38"/>
      <c r="AZ221" s="38"/>
      <c r="BA221" s="38"/>
      <c r="BB221" s="38"/>
      <c r="BC221" s="38"/>
      <c r="BD221" s="38"/>
      <c r="BE221" s="38"/>
      <c r="BF221" s="38"/>
      <c r="BG221" s="38"/>
      <c r="BH221" s="38"/>
      <c r="BI221" s="38"/>
      <c r="BJ221" s="38"/>
      <c r="BK221" s="38"/>
      <c r="BL221" s="38"/>
      <c r="BM221" s="38"/>
      <c r="BN221" s="38"/>
      <c r="BO221" s="38"/>
      <c r="BP221" s="38"/>
      <c r="BQ221" s="38"/>
      <c r="BR221" s="38"/>
      <c r="BS221" s="38"/>
      <c r="BT221" s="38"/>
      <c r="BU221" s="38"/>
      <c r="BV221" s="38"/>
      <c r="BW221" s="38"/>
      <c r="BX221" s="38"/>
      <c r="BY221" s="38"/>
      <c r="BZ221" s="38"/>
      <c r="CA221" s="38"/>
      <c r="CB221" s="38"/>
      <c r="CC221" s="38"/>
      <c r="CD221" s="38"/>
      <c r="CE221" s="38"/>
      <c r="CF221" s="38"/>
      <c r="CG221" s="38"/>
      <c r="CH221" s="38"/>
      <c r="CI221" s="38"/>
      <c r="CJ221" s="38"/>
      <c r="CK221" s="38"/>
      <c r="CL221" s="38"/>
      <c r="CM221" s="38"/>
      <c r="CN221" s="38"/>
      <c r="CO221" s="38"/>
      <c r="CP221" s="38"/>
      <c r="CQ221" s="38"/>
      <c r="CR221" s="38"/>
      <c r="CS221" s="38"/>
      <c r="CT221" s="38"/>
      <c r="CU221" s="38"/>
      <c r="CV221" s="38"/>
      <c r="CW221" s="38"/>
    </row>
    <row r="222" spans="1:101" s="3" customFormat="1" ht="40.5" customHeight="1">
      <c r="A222" s="67"/>
      <c r="B222" s="68"/>
      <c r="C222" s="69"/>
      <c r="D222" s="76" t="s">
        <v>198</v>
      </c>
      <c r="E222" s="69"/>
      <c r="F222" s="270"/>
      <c r="G222" s="71"/>
      <c r="H222" s="71"/>
      <c r="I222" s="110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F222" s="38"/>
      <c r="AG222" s="38"/>
      <c r="AH222" s="38"/>
      <c r="AI222" s="38"/>
      <c r="AJ222" s="38"/>
      <c r="AK222" s="38"/>
      <c r="AL222" s="38"/>
      <c r="AM222" s="38"/>
      <c r="AN222" s="38"/>
      <c r="AO222" s="38"/>
      <c r="AP222" s="38"/>
      <c r="AQ222" s="38"/>
      <c r="AR222" s="38"/>
      <c r="AS222" s="38"/>
      <c r="AT222" s="38"/>
      <c r="AU222" s="38"/>
      <c r="AV222" s="38"/>
      <c r="AW222" s="38"/>
      <c r="AX222" s="38"/>
      <c r="AY222" s="38"/>
      <c r="AZ222" s="38"/>
      <c r="BA222" s="38"/>
      <c r="BB222" s="38"/>
      <c r="BC222" s="38"/>
      <c r="BD222" s="38"/>
      <c r="BE222" s="38"/>
      <c r="BF222" s="38"/>
      <c r="BG222" s="38"/>
      <c r="BH222" s="38"/>
      <c r="BI222" s="38"/>
      <c r="BJ222" s="38"/>
      <c r="BK222" s="38"/>
      <c r="BL222" s="38"/>
      <c r="BM222" s="38"/>
      <c r="BN222" s="38"/>
      <c r="BO222" s="38"/>
      <c r="BP222" s="38"/>
      <c r="BQ222" s="38"/>
      <c r="BR222" s="38"/>
      <c r="BS222" s="38"/>
      <c r="BT222" s="38"/>
      <c r="BU222" s="38"/>
      <c r="BV222" s="38"/>
      <c r="BW222" s="38"/>
      <c r="BX222" s="38"/>
      <c r="BY222" s="38"/>
      <c r="BZ222" s="38"/>
      <c r="CA222" s="38"/>
      <c r="CB222" s="38"/>
      <c r="CC222" s="38"/>
      <c r="CD222" s="38"/>
      <c r="CE222" s="38"/>
      <c r="CF222" s="38"/>
      <c r="CG222" s="38"/>
      <c r="CH222" s="38"/>
      <c r="CI222" s="38"/>
      <c r="CJ222" s="38"/>
      <c r="CK222" s="38"/>
      <c r="CL222" s="38"/>
      <c r="CM222" s="38"/>
      <c r="CN222" s="38"/>
      <c r="CO222" s="38"/>
      <c r="CP222" s="38"/>
      <c r="CQ222" s="38"/>
      <c r="CR222" s="38"/>
      <c r="CS222" s="38"/>
      <c r="CT222" s="38"/>
      <c r="CU222" s="38"/>
      <c r="CV222" s="38"/>
      <c r="CW222" s="38"/>
    </row>
    <row r="223" spans="1:101" s="38" customFormat="1" ht="13.5" customHeight="1">
      <c r="A223" s="67">
        <v>40</v>
      </c>
      <c r="B223" s="68" t="s">
        <v>194</v>
      </c>
      <c r="C223" s="69" t="s">
        <v>208</v>
      </c>
      <c r="D223" s="69" t="s">
        <v>209</v>
      </c>
      <c r="E223" s="69" t="s">
        <v>30</v>
      </c>
      <c r="F223" s="100">
        <f>SUM(F225:F227)</f>
        <v>13.27675</v>
      </c>
      <c r="G223" s="71"/>
      <c r="H223" s="71">
        <f>F223*G223</f>
        <v>0</v>
      </c>
      <c r="I223" s="101" t="s">
        <v>57</v>
      </c>
      <c r="J223" s="313"/>
      <c r="K223" s="297"/>
      <c r="L223" s="298"/>
      <c r="M223" s="299"/>
      <c r="N223" s="300"/>
      <c r="O223" s="311"/>
      <c r="P223" s="207"/>
      <c r="Q223" s="213"/>
      <c r="R223" s="302"/>
    </row>
    <row r="224" spans="1:101" s="3" customFormat="1" ht="13.5" customHeight="1">
      <c r="A224" s="258"/>
      <c r="B224" s="259"/>
      <c r="C224" s="259"/>
      <c r="D224" s="260" t="s">
        <v>210</v>
      </c>
      <c r="E224" s="259"/>
      <c r="F224" s="261"/>
      <c r="G224" s="262"/>
      <c r="H224" s="263"/>
      <c r="I224" s="264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  <c r="AJ224" s="38"/>
      <c r="AK224" s="38"/>
      <c r="AL224" s="38"/>
      <c r="AM224" s="38"/>
      <c r="AN224" s="38"/>
      <c r="AO224" s="38"/>
      <c r="AP224" s="38"/>
      <c r="AQ224" s="38"/>
      <c r="AR224" s="38"/>
      <c r="AS224" s="38"/>
      <c r="AT224" s="38"/>
      <c r="AU224" s="38"/>
      <c r="AV224" s="38"/>
      <c r="AW224" s="38"/>
      <c r="AX224" s="38"/>
      <c r="AY224" s="38"/>
      <c r="AZ224" s="38"/>
      <c r="BA224" s="38"/>
      <c r="BB224" s="38"/>
      <c r="BC224" s="38"/>
      <c r="BD224" s="38"/>
      <c r="BE224" s="38"/>
      <c r="BF224" s="38"/>
      <c r="BG224" s="38"/>
      <c r="BH224" s="38"/>
      <c r="BI224" s="38"/>
      <c r="BJ224" s="38"/>
      <c r="BK224" s="38"/>
      <c r="BL224" s="38"/>
      <c r="BM224" s="38"/>
      <c r="BN224" s="38"/>
      <c r="BO224" s="38"/>
      <c r="BP224" s="38"/>
      <c r="BQ224" s="38"/>
      <c r="BR224" s="38"/>
      <c r="BS224" s="38"/>
      <c r="BT224" s="38"/>
      <c r="BU224" s="38"/>
      <c r="BV224" s="38"/>
      <c r="BW224" s="38"/>
      <c r="BX224" s="38"/>
      <c r="BY224" s="38"/>
      <c r="BZ224" s="38"/>
      <c r="CA224" s="38"/>
      <c r="CB224" s="38"/>
      <c r="CC224" s="38"/>
      <c r="CD224" s="38"/>
      <c r="CE224" s="38"/>
      <c r="CF224" s="38"/>
      <c r="CG224" s="38"/>
      <c r="CH224" s="38"/>
      <c r="CI224" s="38"/>
      <c r="CJ224" s="38"/>
      <c r="CK224" s="38"/>
      <c r="CL224" s="38"/>
      <c r="CM224" s="38"/>
      <c r="CN224" s="38"/>
      <c r="CO224" s="38"/>
      <c r="CP224" s="38"/>
      <c r="CQ224" s="38"/>
      <c r="CR224" s="38"/>
      <c r="CS224" s="38"/>
      <c r="CT224" s="38"/>
      <c r="CU224" s="38"/>
      <c r="CV224" s="38"/>
      <c r="CW224" s="38"/>
    </row>
    <row r="225" spans="1:101" s="38" customFormat="1" ht="13.5" customHeight="1">
      <c r="A225" s="67"/>
      <c r="B225" s="69"/>
      <c r="C225" s="69"/>
      <c r="D225" s="76" t="s">
        <v>434</v>
      </c>
      <c r="E225" s="69"/>
      <c r="F225" s="77">
        <f>(1.072+0.15)*1.15</f>
        <v>1.4052999999999998</v>
      </c>
      <c r="G225" s="71"/>
      <c r="H225" s="71"/>
      <c r="I225" s="101"/>
      <c r="J225" s="210"/>
    </row>
    <row r="226" spans="1:101" s="38" customFormat="1" ht="13.5" customHeight="1">
      <c r="A226" s="67"/>
      <c r="B226" s="69"/>
      <c r="C226" s="69"/>
      <c r="D226" s="76" t="s">
        <v>435</v>
      </c>
      <c r="E226" s="69"/>
      <c r="F226" s="77">
        <f>(8.826)*1.15</f>
        <v>10.149900000000001</v>
      </c>
      <c r="G226" s="71"/>
      <c r="H226" s="71"/>
      <c r="I226" s="101"/>
      <c r="J226" s="210"/>
    </row>
    <row r="227" spans="1:101" s="38" customFormat="1" ht="13.5" customHeight="1">
      <c r="A227" s="67"/>
      <c r="B227" s="69"/>
      <c r="C227" s="69"/>
      <c r="D227" s="76" t="s">
        <v>436</v>
      </c>
      <c r="E227" s="69"/>
      <c r="F227" s="77">
        <f>(1.357+0.14)*1.15</f>
        <v>1.7215499999999997</v>
      </c>
      <c r="G227" s="71"/>
      <c r="H227" s="71"/>
      <c r="I227" s="101"/>
      <c r="J227" s="314"/>
    </row>
    <row r="228" spans="1:101" s="3" customFormat="1" ht="40.5" customHeight="1">
      <c r="A228" s="258"/>
      <c r="B228" s="265"/>
      <c r="C228" s="266"/>
      <c r="D228" s="260" t="s">
        <v>198</v>
      </c>
      <c r="E228" s="266"/>
      <c r="F228" s="267"/>
      <c r="G228" s="263"/>
      <c r="H228" s="263"/>
      <c r="I228" s="264"/>
      <c r="J228" s="26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  <c r="AJ228" s="38"/>
      <c r="AK228" s="38"/>
      <c r="AL228" s="38"/>
      <c r="AM228" s="38"/>
      <c r="AN228" s="38"/>
      <c r="AO228" s="38"/>
      <c r="AP228" s="38"/>
      <c r="AQ228" s="38"/>
      <c r="AR228" s="38"/>
      <c r="AS228" s="38"/>
      <c r="AT228" s="38"/>
      <c r="AU228" s="38"/>
      <c r="AV228" s="38"/>
      <c r="AW228" s="38"/>
      <c r="AX228" s="38"/>
      <c r="AY228" s="38"/>
      <c r="AZ228" s="38"/>
      <c r="BA228" s="38"/>
      <c r="BB228" s="38"/>
      <c r="BC228" s="38"/>
      <c r="BD228" s="38"/>
      <c r="BE228" s="38"/>
      <c r="BF228" s="38"/>
      <c r="BG228" s="38"/>
      <c r="BH228" s="38"/>
      <c r="BI228" s="38"/>
      <c r="BJ228" s="38"/>
      <c r="BK228" s="38"/>
      <c r="BL228" s="38"/>
      <c r="BM228" s="38"/>
      <c r="BN228" s="38"/>
      <c r="BO228" s="38"/>
      <c r="BP228" s="38"/>
      <c r="BQ228" s="38"/>
      <c r="BR228" s="38"/>
      <c r="BS228" s="38"/>
      <c r="BT228" s="38"/>
      <c r="BU228" s="38"/>
      <c r="BV228" s="38"/>
      <c r="BW228" s="38"/>
      <c r="BX228" s="38"/>
      <c r="BY228" s="38"/>
      <c r="BZ228" s="38"/>
      <c r="CA228" s="38"/>
      <c r="CB228" s="38"/>
      <c r="CC228" s="38"/>
      <c r="CD228" s="38"/>
      <c r="CE228" s="38"/>
      <c r="CF228" s="38"/>
      <c r="CG228" s="38"/>
      <c r="CH228" s="38"/>
      <c r="CI228" s="38"/>
      <c r="CJ228" s="38"/>
      <c r="CK228" s="38"/>
      <c r="CL228" s="38"/>
      <c r="CM228" s="38"/>
      <c r="CN228" s="38"/>
      <c r="CO228" s="38"/>
      <c r="CP228" s="38"/>
      <c r="CQ228" s="38"/>
      <c r="CR228" s="38"/>
      <c r="CS228" s="38"/>
      <c r="CT228" s="38"/>
      <c r="CU228" s="38"/>
      <c r="CV228" s="38"/>
      <c r="CW228" s="38"/>
    </row>
    <row r="229" spans="1:101" s="3" customFormat="1" ht="13.5" customHeight="1">
      <c r="A229" s="67">
        <v>41</v>
      </c>
      <c r="B229" s="69" t="s">
        <v>194</v>
      </c>
      <c r="C229" s="69" t="s">
        <v>211</v>
      </c>
      <c r="D229" s="69" t="s">
        <v>212</v>
      </c>
      <c r="E229" s="69" t="s">
        <v>30</v>
      </c>
      <c r="F229" s="100">
        <f>SUM(F231)</f>
        <v>2.8462499999999999</v>
      </c>
      <c r="G229" s="71"/>
      <c r="H229" s="71">
        <f>F229*G229</f>
        <v>0</v>
      </c>
      <c r="I229" s="101" t="s">
        <v>57</v>
      </c>
      <c r="J229" s="139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  <c r="AJ229" s="38"/>
      <c r="AK229" s="38"/>
      <c r="AL229" s="38"/>
      <c r="AM229" s="38"/>
      <c r="AN229" s="38"/>
      <c r="AO229" s="38"/>
      <c r="AP229" s="38"/>
      <c r="AQ229" s="38"/>
      <c r="AR229" s="38"/>
      <c r="AS229" s="38"/>
      <c r="AT229" s="38"/>
      <c r="AU229" s="38"/>
      <c r="AV229" s="38"/>
      <c r="AW229" s="38"/>
      <c r="AX229" s="38"/>
      <c r="AY229" s="38"/>
      <c r="AZ229" s="38"/>
      <c r="BA229" s="38"/>
      <c r="BB229" s="38"/>
      <c r="BC229" s="38"/>
      <c r="BD229" s="38"/>
      <c r="BE229" s="38"/>
      <c r="BF229" s="38"/>
      <c r="BG229" s="38"/>
      <c r="BH229" s="38"/>
      <c r="BI229" s="38"/>
      <c r="BJ229" s="38"/>
      <c r="BK229" s="38"/>
      <c r="BL229" s="38"/>
      <c r="BM229" s="38"/>
      <c r="BN229" s="38"/>
      <c r="BO229" s="38"/>
      <c r="BP229" s="38"/>
      <c r="BQ229" s="38"/>
      <c r="BR229" s="38"/>
      <c r="BS229" s="38"/>
      <c r="BT229" s="38"/>
      <c r="BU229" s="38"/>
      <c r="BV229" s="38"/>
      <c r="BW229" s="38"/>
      <c r="BX229" s="38"/>
      <c r="BY229" s="38"/>
      <c r="BZ229" s="38"/>
      <c r="CA229" s="38"/>
      <c r="CB229" s="38"/>
      <c r="CC229" s="38"/>
      <c r="CD229" s="38"/>
      <c r="CE229" s="38"/>
      <c r="CF229" s="38"/>
      <c r="CG229" s="38"/>
      <c r="CH229" s="38"/>
      <c r="CI229" s="38"/>
      <c r="CJ229" s="38"/>
      <c r="CK229" s="38"/>
      <c r="CL229" s="38"/>
      <c r="CM229" s="38"/>
      <c r="CN229" s="38"/>
      <c r="CO229" s="38"/>
      <c r="CP229" s="38"/>
      <c r="CQ229" s="38"/>
      <c r="CR229" s="38"/>
      <c r="CS229" s="38"/>
      <c r="CT229" s="38"/>
      <c r="CU229" s="38"/>
      <c r="CV229" s="38"/>
      <c r="CW229" s="38"/>
    </row>
    <row r="230" spans="1:101" s="3" customFormat="1" ht="13.5" customHeight="1">
      <c r="A230" s="67"/>
      <c r="B230" s="114"/>
      <c r="C230" s="114"/>
      <c r="D230" s="260" t="s">
        <v>201</v>
      </c>
      <c r="E230" s="259"/>
      <c r="F230" s="261"/>
      <c r="G230" s="144"/>
      <c r="H230" s="71"/>
      <c r="I230" s="110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  <c r="AJ230" s="38"/>
      <c r="AK230" s="38"/>
      <c r="AL230" s="38"/>
      <c r="AM230" s="38"/>
      <c r="AN230" s="38"/>
      <c r="AO230" s="38"/>
      <c r="AP230" s="38"/>
      <c r="AQ230" s="38"/>
      <c r="AR230" s="38"/>
      <c r="AS230" s="38"/>
      <c r="AT230" s="38"/>
      <c r="AU230" s="38"/>
      <c r="AV230" s="38"/>
      <c r="AW230" s="38"/>
      <c r="AX230" s="38"/>
      <c r="AY230" s="38"/>
      <c r="AZ230" s="38"/>
      <c r="BA230" s="38"/>
      <c r="BB230" s="38"/>
      <c r="BC230" s="38"/>
      <c r="BD230" s="38"/>
      <c r="BE230" s="38"/>
      <c r="BF230" s="38"/>
      <c r="BG230" s="38"/>
      <c r="BH230" s="38"/>
      <c r="BI230" s="38"/>
      <c r="BJ230" s="38"/>
      <c r="BK230" s="38"/>
      <c r="BL230" s="38"/>
      <c r="BM230" s="38"/>
      <c r="BN230" s="38"/>
      <c r="BO230" s="38"/>
      <c r="BP230" s="38"/>
      <c r="BQ230" s="38"/>
      <c r="BR230" s="38"/>
      <c r="BS230" s="38"/>
      <c r="BT230" s="38"/>
      <c r="BU230" s="38"/>
      <c r="BV230" s="38"/>
      <c r="BW230" s="38"/>
      <c r="BX230" s="38"/>
      <c r="BY230" s="38"/>
      <c r="BZ230" s="38"/>
      <c r="CA230" s="38"/>
      <c r="CB230" s="38"/>
      <c r="CC230" s="38"/>
      <c r="CD230" s="38"/>
      <c r="CE230" s="38"/>
      <c r="CF230" s="38"/>
      <c r="CG230" s="38"/>
      <c r="CH230" s="38"/>
      <c r="CI230" s="38"/>
      <c r="CJ230" s="38"/>
      <c r="CK230" s="38"/>
      <c r="CL230" s="38"/>
      <c r="CM230" s="38"/>
      <c r="CN230" s="38"/>
      <c r="CO230" s="38"/>
      <c r="CP230" s="38"/>
      <c r="CQ230" s="38"/>
      <c r="CR230" s="38"/>
      <c r="CS230" s="38"/>
      <c r="CT230" s="38"/>
      <c r="CU230" s="38"/>
      <c r="CV230" s="38"/>
      <c r="CW230" s="38"/>
    </row>
    <row r="231" spans="1:101" s="3" customFormat="1" ht="13.5" customHeight="1">
      <c r="A231" s="67"/>
      <c r="B231" s="68"/>
      <c r="C231" s="69"/>
      <c r="D231" s="76" t="s">
        <v>437</v>
      </c>
      <c r="E231" s="69"/>
      <c r="F231" s="77">
        <f>(2.475)*1.15</f>
        <v>2.8462499999999999</v>
      </c>
      <c r="G231" s="71"/>
      <c r="H231" s="71"/>
      <c r="I231" s="101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38"/>
      <c r="AK231" s="38"/>
      <c r="AL231" s="38"/>
      <c r="AM231" s="38"/>
      <c r="AN231" s="38"/>
      <c r="AO231" s="38"/>
      <c r="AP231" s="38"/>
      <c r="AQ231" s="38"/>
      <c r="AR231" s="38"/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8"/>
      <c r="BK231" s="38"/>
      <c r="BL231" s="38"/>
      <c r="BM231" s="38"/>
      <c r="BN231" s="38"/>
      <c r="BO231" s="38"/>
      <c r="BP231" s="38"/>
      <c r="BQ231" s="38"/>
      <c r="BR231" s="38"/>
      <c r="BS231" s="38"/>
      <c r="BT231" s="38"/>
      <c r="BU231" s="38"/>
      <c r="BV231" s="38"/>
      <c r="BW231" s="38"/>
      <c r="BX231" s="38"/>
      <c r="BY231" s="38"/>
      <c r="BZ231" s="38"/>
      <c r="CA231" s="38"/>
      <c r="CB231" s="38"/>
      <c r="CC231" s="38"/>
      <c r="CD231" s="38"/>
      <c r="CE231" s="38"/>
      <c r="CF231" s="38"/>
      <c r="CG231" s="38"/>
      <c r="CH231" s="38"/>
      <c r="CI231" s="38"/>
      <c r="CJ231" s="38"/>
      <c r="CK231" s="38"/>
      <c r="CL231" s="38"/>
      <c r="CM231" s="38"/>
      <c r="CN231" s="38"/>
      <c r="CO231" s="38"/>
      <c r="CP231" s="38"/>
      <c r="CQ231" s="38"/>
      <c r="CR231" s="38"/>
      <c r="CS231" s="38"/>
      <c r="CT231" s="38"/>
      <c r="CU231" s="38"/>
      <c r="CV231" s="38"/>
      <c r="CW231" s="38"/>
    </row>
    <row r="232" spans="1:101" s="3" customFormat="1" ht="40.5" customHeight="1">
      <c r="A232" s="67"/>
      <c r="B232" s="68"/>
      <c r="C232" s="69"/>
      <c r="D232" s="76" t="s">
        <v>198</v>
      </c>
      <c r="E232" s="69"/>
      <c r="F232" s="270"/>
      <c r="G232" s="71"/>
      <c r="H232" s="71"/>
      <c r="I232" s="110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F232" s="38"/>
      <c r="AG232" s="38"/>
      <c r="AH232" s="38"/>
      <c r="AI232" s="38"/>
      <c r="AJ232" s="38"/>
      <c r="AK232" s="38"/>
      <c r="AL232" s="38"/>
      <c r="AM232" s="38"/>
      <c r="AN232" s="38"/>
      <c r="AO232" s="38"/>
      <c r="AP232" s="38"/>
      <c r="AQ232" s="38"/>
      <c r="AR232" s="38"/>
      <c r="AS232" s="38"/>
      <c r="AT232" s="38"/>
      <c r="AU232" s="38"/>
      <c r="AV232" s="38"/>
      <c r="AW232" s="38"/>
      <c r="AX232" s="38"/>
      <c r="AY232" s="38"/>
      <c r="AZ232" s="38"/>
      <c r="BA232" s="38"/>
      <c r="BB232" s="38"/>
      <c r="BC232" s="38"/>
      <c r="BD232" s="38"/>
      <c r="BE232" s="38"/>
      <c r="BF232" s="38"/>
      <c r="BG232" s="38"/>
      <c r="BH232" s="38"/>
      <c r="BI232" s="38"/>
      <c r="BJ232" s="38"/>
      <c r="BK232" s="38"/>
      <c r="BL232" s="38"/>
      <c r="BM232" s="38"/>
      <c r="BN232" s="38"/>
      <c r="BO232" s="38"/>
      <c r="BP232" s="38"/>
      <c r="BQ232" s="38"/>
      <c r="BR232" s="38"/>
      <c r="BS232" s="38"/>
      <c r="BT232" s="38"/>
      <c r="BU232" s="38"/>
      <c r="BV232" s="38"/>
      <c r="BW232" s="38"/>
      <c r="BX232" s="38"/>
      <c r="BY232" s="38"/>
      <c r="BZ232" s="38"/>
      <c r="CA232" s="38"/>
      <c r="CB232" s="38"/>
      <c r="CC232" s="38"/>
      <c r="CD232" s="38"/>
      <c r="CE232" s="38"/>
      <c r="CF232" s="38"/>
      <c r="CG232" s="38"/>
      <c r="CH232" s="38"/>
      <c r="CI232" s="38"/>
      <c r="CJ232" s="38"/>
      <c r="CK232" s="38"/>
      <c r="CL232" s="38"/>
      <c r="CM232" s="38"/>
      <c r="CN232" s="38"/>
      <c r="CO232" s="38"/>
      <c r="CP232" s="38"/>
      <c r="CQ232" s="38"/>
      <c r="CR232" s="38"/>
      <c r="CS232" s="38"/>
      <c r="CT232" s="38"/>
      <c r="CU232" s="38"/>
      <c r="CV232" s="38"/>
      <c r="CW232" s="38"/>
    </row>
    <row r="233" spans="1:101" s="38" customFormat="1" ht="13.5" customHeight="1">
      <c r="A233" s="67">
        <v>42</v>
      </c>
      <c r="B233" s="69" t="s">
        <v>194</v>
      </c>
      <c r="C233" s="69">
        <v>763121714</v>
      </c>
      <c r="D233" s="69" t="s">
        <v>213</v>
      </c>
      <c r="E233" s="69" t="s">
        <v>30</v>
      </c>
      <c r="F233" s="257">
        <f>SUM(F234)</f>
        <v>63.150000000000006</v>
      </c>
      <c r="G233" s="71"/>
      <c r="H233" s="71">
        <f>F233*G233</f>
        <v>0</v>
      </c>
      <c r="I233" s="101" t="s">
        <v>31</v>
      </c>
      <c r="J233" s="312"/>
      <c r="K233" s="310"/>
      <c r="L233" s="298"/>
      <c r="M233" s="299"/>
      <c r="N233" s="300"/>
      <c r="O233" s="311"/>
      <c r="P233" s="207"/>
      <c r="Q233" s="207"/>
      <c r="R233" s="302"/>
    </row>
    <row r="234" spans="1:101" s="38" customFormat="1" ht="40.5" customHeight="1">
      <c r="A234" s="67"/>
      <c r="B234" s="69"/>
      <c r="C234" s="69"/>
      <c r="D234" s="111" t="s">
        <v>356</v>
      </c>
      <c r="E234" s="69"/>
      <c r="F234" s="269">
        <f>(2.885+12.822+10.754+12.215+4.262+0.11+0.06)+(6.022)+(1.072+0.15+8.826+1.357+0.14)+(2.475)</f>
        <v>63.150000000000006</v>
      </c>
      <c r="G234" s="71"/>
      <c r="H234" s="71"/>
      <c r="I234" s="101"/>
      <c r="J234" s="315"/>
    </row>
    <row r="235" spans="1:101" s="73" customFormat="1" ht="13.5" customHeight="1">
      <c r="A235" s="67">
        <v>43</v>
      </c>
      <c r="B235" s="68" t="s">
        <v>194</v>
      </c>
      <c r="C235" s="69" t="s">
        <v>214</v>
      </c>
      <c r="D235" s="69" t="s">
        <v>215</v>
      </c>
      <c r="E235" s="69" t="s">
        <v>30</v>
      </c>
      <c r="F235" s="100">
        <f>SUM(F237:F240)</f>
        <v>59.937999999999995</v>
      </c>
      <c r="G235" s="71"/>
      <c r="H235" s="71">
        <f>F235*G235</f>
        <v>0</v>
      </c>
      <c r="I235" s="101" t="s">
        <v>57</v>
      </c>
      <c r="J235" s="316"/>
      <c r="K235" s="207"/>
      <c r="L235" s="207"/>
      <c r="M235" s="207"/>
      <c r="N235" s="207"/>
      <c r="O235" s="207"/>
      <c r="P235" s="207"/>
      <c r="Q235" s="207"/>
      <c r="R235" s="207"/>
      <c r="S235" s="207"/>
      <c r="T235" s="207"/>
      <c r="U235" s="207"/>
      <c r="V235" s="207"/>
      <c r="W235" s="207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/>
      <c r="AH235" s="207"/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  <c r="BI235" s="207"/>
      <c r="BJ235" s="207"/>
      <c r="BK235" s="207"/>
      <c r="BL235" s="207"/>
      <c r="BM235" s="207"/>
      <c r="BN235" s="207"/>
      <c r="BO235" s="207"/>
      <c r="BP235" s="207"/>
      <c r="BQ235" s="207"/>
      <c r="BR235" s="207"/>
      <c r="BS235" s="207"/>
      <c r="BT235" s="207"/>
      <c r="BU235" s="207"/>
      <c r="BV235" s="207"/>
      <c r="BW235" s="207"/>
      <c r="BX235" s="207"/>
    </row>
    <row r="236" spans="1:101" s="73" customFormat="1" ht="13.5" customHeight="1">
      <c r="A236" s="67"/>
      <c r="B236" s="68"/>
      <c r="C236" s="69"/>
      <c r="D236" s="76" t="s">
        <v>216</v>
      </c>
      <c r="E236" s="69"/>
      <c r="F236" s="100"/>
      <c r="G236" s="71"/>
      <c r="H236" s="71"/>
      <c r="I236" s="101"/>
      <c r="J236" s="213"/>
      <c r="K236" s="207"/>
      <c r="L236" s="207"/>
      <c r="M236" s="207"/>
      <c r="N236" s="207"/>
      <c r="O236" s="207"/>
      <c r="P236" s="207"/>
      <c r="Q236" s="207"/>
      <c r="R236" s="207"/>
      <c r="S236" s="207"/>
      <c r="T236" s="207"/>
      <c r="U236" s="207"/>
      <c r="V236" s="207"/>
      <c r="W236" s="207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/>
      <c r="AH236" s="207"/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  <c r="BI236" s="207"/>
      <c r="BJ236" s="207"/>
      <c r="BK236" s="207"/>
      <c r="BL236" s="207"/>
      <c r="BM236" s="207"/>
      <c r="BN236" s="207"/>
      <c r="BO236" s="207"/>
      <c r="BP236" s="207"/>
      <c r="BQ236" s="207"/>
      <c r="BR236" s="207"/>
      <c r="BS236" s="207"/>
      <c r="BT236" s="207"/>
      <c r="BU236" s="207"/>
      <c r="BV236" s="207"/>
      <c r="BW236" s="207"/>
      <c r="BX236" s="207"/>
    </row>
    <row r="237" spans="1:101" s="73" customFormat="1" ht="13.5" customHeight="1">
      <c r="A237" s="74"/>
      <c r="B237" s="75"/>
      <c r="C237" s="75"/>
      <c r="D237" s="76" t="s">
        <v>438</v>
      </c>
      <c r="E237" s="114"/>
      <c r="F237" s="77">
        <f>(16.39)*1.15</f>
        <v>18.848499999999998</v>
      </c>
      <c r="G237" s="271"/>
      <c r="H237" s="78"/>
      <c r="I237" s="234"/>
      <c r="J237" s="207"/>
      <c r="K237" s="207"/>
      <c r="L237" s="207"/>
      <c r="M237" s="207"/>
      <c r="N237" s="207"/>
      <c r="O237" s="207"/>
      <c r="P237" s="207"/>
      <c r="Q237" s="207"/>
      <c r="R237" s="207"/>
      <c r="S237" s="207"/>
      <c r="T237" s="207"/>
      <c r="U237" s="207"/>
      <c r="V237" s="207"/>
      <c r="W237" s="207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/>
      <c r="AH237" s="207"/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  <c r="BI237" s="207"/>
      <c r="BJ237" s="207"/>
      <c r="BK237" s="207"/>
      <c r="BL237" s="207"/>
      <c r="BM237" s="207"/>
      <c r="BN237" s="207"/>
      <c r="BO237" s="207"/>
      <c r="BP237" s="207"/>
      <c r="BQ237" s="207"/>
      <c r="BR237" s="207"/>
      <c r="BS237" s="207"/>
      <c r="BT237" s="207"/>
      <c r="BU237" s="207"/>
      <c r="BV237" s="207"/>
      <c r="BW237" s="207"/>
      <c r="BX237" s="207"/>
    </row>
    <row r="238" spans="1:101" s="73" customFormat="1" ht="13.5" customHeight="1">
      <c r="A238" s="74"/>
      <c r="B238" s="75"/>
      <c r="C238" s="75"/>
      <c r="D238" s="76" t="s">
        <v>439</v>
      </c>
      <c r="E238" s="114"/>
      <c r="F238" s="77">
        <f>(16.4)*1.15</f>
        <v>18.859999999999996</v>
      </c>
      <c r="G238" s="271"/>
      <c r="H238" s="78"/>
      <c r="I238" s="234"/>
      <c r="J238" s="207"/>
      <c r="K238" s="207"/>
      <c r="L238" s="207"/>
      <c r="M238" s="207"/>
      <c r="N238" s="207"/>
      <c r="O238" s="207"/>
      <c r="P238" s="207"/>
      <c r="Q238" s="207"/>
      <c r="R238" s="207"/>
      <c r="S238" s="207"/>
      <c r="T238" s="207"/>
      <c r="U238" s="207"/>
      <c r="V238" s="207"/>
      <c r="W238" s="207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/>
      <c r="AH238" s="207"/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  <c r="BI238" s="207"/>
      <c r="BJ238" s="207"/>
      <c r="BK238" s="207"/>
      <c r="BL238" s="207"/>
      <c r="BM238" s="207"/>
      <c r="BN238" s="207"/>
      <c r="BO238" s="207"/>
      <c r="BP238" s="207"/>
      <c r="BQ238" s="207"/>
      <c r="BR238" s="207"/>
      <c r="BS238" s="207"/>
      <c r="BT238" s="207"/>
      <c r="BU238" s="207"/>
      <c r="BV238" s="207"/>
      <c r="BW238" s="207"/>
      <c r="BX238" s="207"/>
    </row>
    <row r="239" spans="1:101" s="73" customFormat="1" ht="13.5" customHeight="1">
      <c r="A239" s="74"/>
      <c r="B239" s="75"/>
      <c r="C239" s="75"/>
      <c r="D239" s="76" t="s">
        <v>440</v>
      </c>
      <c r="E239" s="114"/>
      <c r="F239" s="77">
        <f>(17.38)*1.15</f>
        <v>19.986999999999998</v>
      </c>
      <c r="G239" s="271"/>
      <c r="H239" s="78"/>
      <c r="I239" s="234"/>
      <c r="J239" s="207"/>
      <c r="K239" s="207"/>
      <c r="L239" s="207"/>
      <c r="M239" s="207"/>
      <c r="N239" s="207"/>
      <c r="O239" s="207"/>
      <c r="P239" s="207"/>
      <c r="Q239" s="207"/>
      <c r="R239" s="207"/>
      <c r="S239" s="207"/>
      <c r="T239" s="207"/>
      <c r="U239" s="207"/>
      <c r="V239" s="207"/>
      <c r="W239" s="207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/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  <c r="BI239" s="207"/>
      <c r="BJ239" s="207"/>
      <c r="BK239" s="207"/>
      <c r="BL239" s="207"/>
      <c r="BM239" s="207"/>
      <c r="BN239" s="207"/>
      <c r="BO239" s="207"/>
      <c r="BP239" s="207"/>
      <c r="BQ239" s="207"/>
      <c r="BR239" s="207"/>
      <c r="BS239" s="207"/>
      <c r="BT239" s="207"/>
      <c r="BU239" s="207"/>
      <c r="BV239" s="207"/>
      <c r="BW239" s="207"/>
      <c r="BX239" s="207"/>
    </row>
    <row r="240" spans="1:101" s="73" customFormat="1" ht="13.5" customHeight="1">
      <c r="A240" s="74"/>
      <c r="B240" s="75"/>
      <c r="C240" s="75"/>
      <c r="D240" s="76" t="s">
        <v>441</v>
      </c>
      <c r="E240" s="114"/>
      <c r="F240" s="77">
        <f>(1.95)*1.15</f>
        <v>2.2424999999999997</v>
      </c>
      <c r="G240" s="271"/>
      <c r="H240" s="78"/>
      <c r="I240" s="234"/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/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  <c r="BI240" s="207"/>
      <c r="BJ240" s="207"/>
      <c r="BK240" s="207"/>
      <c r="BL240" s="207"/>
      <c r="BM240" s="207"/>
      <c r="BN240" s="207"/>
      <c r="BO240" s="207"/>
      <c r="BP240" s="207"/>
      <c r="BQ240" s="207"/>
      <c r="BR240" s="207"/>
      <c r="BS240" s="207"/>
      <c r="BT240" s="207"/>
      <c r="BU240" s="207"/>
      <c r="BV240" s="207"/>
      <c r="BW240" s="207"/>
      <c r="BX240" s="207"/>
    </row>
    <row r="241" spans="1:101" s="3" customFormat="1" ht="26.25" customHeight="1">
      <c r="A241" s="67"/>
      <c r="B241" s="68"/>
      <c r="C241" s="69"/>
      <c r="D241" s="76" t="s">
        <v>217</v>
      </c>
      <c r="E241" s="69"/>
      <c r="F241" s="270"/>
      <c r="G241" s="71"/>
      <c r="H241" s="71"/>
      <c r="I241" s="110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38"/>
      <c r="AM241" s="38"/>
      <c r="AN241" s="38"/>
      <c r="AO241" s="38"/>
      <c r="AP241" s="38"/>
      <c r="AQ241" s="38"/>
      <c r="AR241" s="38"/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  <c r="BD241" s="38"/>
      <c r="BE241" s="38"/>
      <c r="BF241" s="38"/>
      <c r="BG241" s="38"/>
      <c r="BH241" s="38"/>
      <c r="BI241" s="38"/>
      <c r="BJ241" s="38"/>
      <c r="BK241" s="38"/>
      <c r="BL241" s="38"/>
      <c r="BM241" s="38"/>
      <c r="BN241" s="38"/>
      <c r="BO241" s="38"/>
      <c r="BP241" s="38"/>
      <c r="BQ241" s="38"/>
      <c r="BR241" s="38"/>
      <c r="BS241" s="38"/>
      <c r="BT241" s="38"/>
      <c r="BU241" s="38"/>
      <c r="BV241" s="38"/>
      <c r="BW241" s="38"/>
      <c r="BX241" s="38"/>
      <c r="BY241" s="38"/>
      <c r="BZ241" s="38"/>
      <c r="CA241" s="38"/>
      <c r="CB241" s="38"/>
      <c r="CC241" s="38"/>
      <c r="CD241" s="38"/>
      <c r="CE241" s="38"/>
      <c r="CF241" s="38"/>
      <c r="CG241" s="38"/>
      <c r="CH241" s="38"/>
      <c r="CI241" s="38"/>
      <c r="CJ241" s="38"/>
      <c r="CK241" s="38"/>
      <c r="CL241" s="38"/>
      <c r="CM241" s="38"/>
      <c r="CN241" s="38"/>
      <c r="CO241" s="38"/>
      <c r="CP241" s="38"/>
      <c r="CQ241" s="38"/>
      <c r="CR241" s="38"/>
      <c r="CS241" s="38"/>
      <c r="CT241" s="38"/>
      <c r="CU241" s="38"/>
      <c r="CV241" s="38"/>
      <c r="CW241" s="38"/>
    </row>
    <row r="242" spans="1:101" s="73" customFormat="1" ht="13.5" customHeight="1">
      <c r="A242" s="67">
        <v>44</v>
      </c>
      <c r="B242" s="68" t="s">
        <v>194</v>
      </c>
      <c r="C242" s="69" t="s">
        <v>218</v>
      </c>
      <c r="D242" s="69" t="s">
        <v>219</v>
      </c>
      <c r="E242" s="69" t="s">
        <v>30</v>
      </c>
      <c r="F242" s="100">
        <f>SUM(F244:F249)</f>
        <v>135.56200000000001</v>
      </c>
      <c r="G242" s="71"/>
      <c r="H242" s="71">
        <f>F242*G242</f>
        <v>0</v>
      </c>
      <c r="I242" s="101" t="s">
        <v>57</v>
      </c>
      <c r="J242" s="316"/>
      <c r="K242" s="207"/>
      <c r="L242" s="207"/>
      <c r="M242" s="207"/>
      <c r="N242" s="207"/>
      <c r="O242" s="207"/>
      <c r="P242" s="207"/>
      <c r="Q242" s="207"/>
      <c r="R242" s="207"/>
      <c r="S242" s="207"/>
      <c r="T242" s="207"/>
      <c r="U242" s="207"/>
      <c r="V242" s="207"/>
      <c r="W242" s="207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/>
      <c r="AH242" s="207"/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  <c r="BI242" s="207"/>
      <c r="BJ242" s="207"/>
      <c r="BK242" s="207"/>
      <c r="BL242" s="207"/>
      <c r="BM242" s="207"/>
      <c r="BN242" s="207"/>
      <c r="BO242" s="207"/>
      <c r="BP242" s="207"/>
      <c r="BQ242" s="207"/>
      <c r="BR242" s="207"/>
      <c r="BS242" s="207"/>
      <c r="BT242" s="207"/>
      <c r="BU242" s="207"/>
      <c r="BV242" s="207"/>
      <c r="BW242" s="207"/>
      <c r="BX242" s="207"/>
    </row>
    <row r="243" spans="1:101" s="73" customFormat="1" ht="13.5" customHeight="1">
      <c r="A243" s="67"/>
      <c r="B243" s="68"/>
      <c r="C243" s="69"/>
      <c r="D243" s="76" t="s">
        <v>220</v>
      </c>
      <c r="E243" s="69"/>
      <c r="F243" s="100"/>
      <c r="G243" s="71"/>
      <c r="H243" s="71"/>
      <c r="I243" s="101"/>
      <c r="J243" s="317"/>
      <c r="K243" s="207"/>
      <c r="L243" s="207"/>
      <c r="M243" s="207"/>
      <c r="N243" s="207"/>
      <c r="O243" s="207"/>
      <c r="P243" s="207"/>
      <c r="Q243" s="207"/>
      <c r="R243" s="207"/>
      <c r="S243" s="207"/>
      <c r="T243" s="207"/>
      <c r="U243" s="207"/>
      <c r="V243" s="207"/>
      <c r="W243" s="207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/>
      <c r="AH243" s="207"/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  <c r="BI243" s="207"/>
      <c r="BJ243" s="207"/>
      <c r="BK243" s="207"/>
      <c r="BL243" s="207"/>
      <c r="BM243" s="207"/>
      <c r="BN243" s="207"/>
      <c r="BO243" s="207"/>
      <c r="BP243" s="207"/>
      <c r="BQ243" s="207"/>
      <c r="BR243" s="207"/>
      <c r="BS243" s="207"/>
      <c r="BT243" s="207"/>
      <c r="BU243" s="207"/>
      <c r="BV243" s="207"/>
      <c r="BW243" s="207"/>
      <c r="BX243" s="207"/>
    </row>
    <row r="244" spans="1:101" s="91" customFormat="1" ht="13.5" customHeight="1">
      <c r="A244" s="84"/>
      <c r="B244" s="85"/>
      <c r="C244" s="86"/>
      <c r="D244" s="92" t="s">
        <v>442</v>
      </c>
      <c r="E244" s="87"/>
      <c r="F244" s="94">
        <f>(6.01+3.88+1.96)*1.15</f>
        <v>13.627500000000001</v>
      </c>
      <c r="G244" s="89"/>
      <c r="H244" s="90"/>
      <c r="I244" s="72"/>
      <c r="J244" s="317"/>
      <c r="K244" s="207"/>
      <c r="L244" s="207"/>
      <c r="M244" s="207"/>
      <c r="N244" s="207"/>
      <c r="O244" s="207"/>
    </row>
    <row r="245" spans="1:101" s="91" customFormat="1" ht="13.5" customHeight="1">
      <c r="A245" s="84"/>
      <c r="B245" s="85"/>
      <c r="C245" s="86"/>
      <c r="D245" s="92" t="s">
        <v>443</v>
      </c>
      <c r="E245" s="87"/>
      <c r="F245" s="94">
        <f>(3.85+2.86+5.52+5.8+4.61+2.28+3.71)*1.15</f>
        <v>32.924500000000002</v>
      </c>
      <c r="G245" s="89"/>
      <c r="H245" s="90"/>
      <c r="I245" s="72"/>
      <c r="J245" s="93"/>
    </row>
    <row r="246" spans="1:101" s="91" customFormat="1" ht="13.5" customHeight="1">
      <c r="A246" s="84"/>
      <c r="B246" s="85"/>
      <c r="C246" s="86"/>
      <c r="D246" s="92" t="s">
        <v>444</v>
      </c>
      <c r="E246" s="87"/>
      <c r="F246" s="94">
        <f>(4.51+1.49+4.62+5.8+3.61+2.72+5.33)*1.15</f>
        <v>32.291999999999994</v>
      </c>
      <c r="G246" s="89"/>
      <c r="H246" s="90"/>
      <c r="I246" s="72"/>
      <c r="J246" s="272"/>
    </row>
    <row r="247" spans="1:101" s="91" customFormat="1" ht="27" customHeight="1">
      <c r="A247" s="84"/>
      <c r="B247" s="85"/>
      <c r="C247" s="86"/>
      <c r="D247" s="92" t="s">
        <v>445</v>
      </c>
      <c r="E247" s="87"/>
      <c r="F247" s="94">
        <f>(6.81+5.54+4.83+6.55+2.08+3.34)*1.15</f>
        <v>33.522500000000001</v>
      </c>
      <c r="G247" s="89"/>
      <c r="H247" s="90"/>
      <c r="I247" s="72"/>
      <c r="J247" s="93"/>
    </row>
    <row r="248" spans="1:101" s="91" customFormat="1" ht="13.5" customHeight="1">
      <c r="A248" s="84"/>
      <c r="B248" s="85"/>
      <c r="C248" s="86"/>
      <c r="D248" s="92" t="s">
        <v>446</v>
      </c>
      <c r="E248" s="87"/>
      <c r="F248" s="94">
        <f>(3.33+3.22+7.2+2.96)*1.15</f>
        <v>19.2165</v>
      </c>
      <c r="G248" s="89"/>
      <c r="H248" s="90"/>
      <c r="I248" s="72"/>
      <c r="J248" s="93"/>
    </row>
    <row r="249" spans="1:101" s="91" customFormat="1" ht="13.5" customHeight="1">
      <c r="A249" s="84"/>
      <c r="B249" s="85"/>
      <c r="C249" s="86"/>
      <c r="D249" s="92" t="s">
        <v>447</v>
      </c>
      <c r="E249" s="87"/>
      <c r="F249" s="94">
        <f>(3.46)*1.15</f>
        <v>3.9789999999999996</v>
      </c>
      <c r="G249" s="89"/>
      <c r="H249" s="90"/>
      <c r="I249" s="72"/>
      <c r="J249" s="93"/>
    </row>
    <row r="250" spans="1:101" s="3" customFormat="1" ht="26.25" customHeight="1">
      <c r="A250" s="67"/>
      <c r="B250" s="68"/>
      <c r="C250" s="69"/>
      <c r="D250" s="76" t="s">
        <v>221</v>
      </c>
      <c r="E250" s="69"/>
      <c r="F250" s="270"/>
      <c r="G250" s="71"/>
      <c r="H250" s="71"/>
      <c r="I250" s="110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38"/>
      <c r="AJ250" s="38"/>
      <c r="AK250" s="38"/>
      <c r="AL250" s="38"/>
      <c r="AM250" s="38"/>
      <c r="AN250" s="38"/>
      <c r="AO250" s="38"/>
      <c r="AP250" s="38"/>
      <c r="AQ250" s="38"/>
      <c r="AR250" s="38"/>
      <c r="AS250" s="38"/>
      <c r="AT250" s="38"/>
      <c r="AU250" s="38"/>
      <c r="AV250" s="38"/>
      <c r="AW250" s="38"/>
      <c r="AX250" s="38"/>
      <c r="AY250" s="38"/>
      <c r="AZ250" s="38"/>
      <c r="BA250" s="38"/>
      <c r="BB250" s="38"/>
      <c r="BC250" s="38"/>
      <c r="BD250" s="38"/>
      <c r="BE250" s="38"/>
      <c r="BF250" s="38"/>
      <c r="BG250" s="38"/>
      <c r="BH250" s="38"/>
      <c r="BI250" s="38"/>
      <c r="BJ250" s="38"/>
      <c r="BK250" s="38"/>
      <c r="BL250" s="38"/>
      <c r="BM250" s="38"/>
      <c r="BN250" s="38"/>
      <c r="BO250" s="38"/>
      <c r="BP250" s="38"/>
      <c r="BQ250" s="38"/>
      <c r="BR250" s="38"/>
      <c r="BS250" s="38"/>
      <c r="BT250" s="38"/>
      <c r="BU250" s="38"/>
      <c r="BV250" s="38"/>
      <c r="BW250" s="38"/>
      <c r="BX250" s="38"/>
      <c r="BY250" s="38"/>
      <c r="BZ250" s="38"/>
      <c r="CA250" s="38"/>
      <c r="CB250" s="38"/>
      <c r="CC250" s="38"/>
      <c r="CD250" s="38"/>
      <c r="CE250" s="38"/>
      <c r="CF250" s="38"/>
      <c r="CG250" s="38"/>
      <c r="CH250" s="38"/>
      <c r="CI250" s="38"/>
      <c r="CJ250" s="38"/>
      <c r="CK250" s="38"/>
      <c r="CL250" s="38"/>
      <c r="CM250" s="38"/>
      <c r="CN250" s="38"/>
      <c r="CO250" s="38"/>
      <c r="CP250" s="38"/>
      <c r="CQ250" s="38"/>
      <c r="CR250" s="38"/>
      <c r="CS250" s="38"/>
      <c r="CT250" s="38"/>
      <c r="CU250" s="38"/>
      <c r="CV250" s="38"/>
      <c r="CW250" s="38"/>
    </row>
    <row r="251" spans="1:101" s="73" customFormat="1" ht="13.5" customHeight="1">
      <c r="A251" s="67">
        <v>45</v>
      </c>
      <c r="B251" s="68" t="s">
        <v>194</v>
      </c>
      <c r="C251" s="69">
        <v>763131714</v>
      </c>
      <c r="D251" s="69" t="s">
        <v>222</v>
      </c>
      <c r="E251" s="69" t="s">
        <v>30</v>
      </c>
      <c r="F251" s="100">
        <f>SUM(F252:F253)</f>
        <v>172.76499999999999</v>
      </c>
      <c r="G251" s="71"/>
      <c r="H251" s="71">
        <f>F251*G251</f>
        <v>0</v>
      </c>
      <c r="I251" s="101" t="s">
        <v>31</v>
      </c>
      <c r="J251" s="207"/>
      <c r="K251" s="207"/>
      <c r="L251" s="207"/>
      <c r="M251" s="207"/>
      <c r="N251" s="207"/>
      <c r="O251" s="207"/>
      <c r="P251" s="207"/>
      <c r="Q251" s="207"/>
      <c r="R251" s="207"/>
      <c r="S251" s="207"/>
      <c r="T251" s="207"/>
      <c r="U251" s="207"/>
      <c r="V251" s="207"/>
      <c r="W251" s="207"/>
      <c r="X251" s="207"/>
      <c r="Y251" s="207"/>
      <c r="Z251" s="207"/>
      <c r="AA251" s="207"/>
      <c r="AB251" s="207"/>
      <c r="AC251" s="207"/>
      <c r="AD251" s="207"/>
      <c r="AE251" s="207"/>
      <c r="AF251" s="207"/>
      <c r="AG251" s="207"/>
      <c r="AH251" s="207"/>
      <c r="AI251" s="207"/>
      <c r="AJ251" s="207"/>
      <c r="AK251" s="207"/>
      <c r="AL251" s="207"/>
      <c r="AM251" s="207"/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  <c r="BI251" s="207"/>
      <c r="BJ251" s="207"/>
      <c r="BK251" s="207"/>
      <c r="BL251" s="207"/>
      <c r="BM251" s="207"/>
      <c r="BN251" s="207"/>
      <c r="BO251" s="207"/>
      <c r="BP251" s="207"/>
      <c r="BQ251" s="207"/>
      <c r="BR251" s="207"/>
      <c r="BS251" s="207"/>
      <c r="BT251" s="207"/>
      <c r="BU251" s="207"/>
      <c r="BV251" s="207"/>
      <c r="BW251" s="207"/>
      <c r="BX251" s="207"/>
    </row>
    <row r="252" spans="1:101" s="73" customFormat="1" ht="13.5" customHeight="1">
      <c r="A252" s="74"/>
      <c r="B252" s="75"/>
      <c r="C252" s="75"/>
      <c r="D252" s="76" t="s">
        <v>223</v>
      </c>
      <c r="E252" s="114"/>
      <c r="F252" s="77">
        <f>(52.12+117.88)</f>
        <v>170</v>
      </c>
      <c r="G252" s="78"/>
      <c r="H252" s="78"/>
      <c r="I252" s="234"/>
      <c r="J252" s="318"/>
      <c r="K252" s="207"/>
      <c r="L252" s="207"/>
      <c r="M252" s="207"/>
      <c r="N252" s="207"/>
      <c r="O252" s="207"/>
      <c r="P252" s="207"/>
      <c r="Q252" s="207"/>
      <c r="R252" s="207"/>
      <c r="S252" s="207"/>
      <c r="T252" s="207"/>
      <c r="U252" s="207"/>
      <c r="V252" s="207"/>
      <c r="W252" s="207"/>
      <c r="X252" s="207"/>
      <c r="Y252" s="207"/>
      <c r="Z252" s="207"/>
      <c r="AA252" s="207"/>
      <c r="AB252" s="207"/>
      <c r="AC252" s="207"/>
      <c r="AD252" s="207"/>
      <c r="AE252" s="207"/>
      <c r="AF252" s="207"/>
      <c r="AG252" s="207"/>
      <c r="AH252" s="207"/>
      <c r="AI252" s="207"/>
      <c r="AJ252" s="207"/>
      <c r="AK252" s="207"/>
      <c r="AL252" s="207"/>
      <c r="AM252" s="207"/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  <c r="BI252" s="207"/>
      <c r="BJ252" s="207"/>
      <c r="BK252" s="207"/>
      <c r="BL252" s="207"/>
      <c r="BM252" s="207"/>
      <c r="BN252" s="207"/>
      <c r="BO252" s="207"/>
      <c r="BP252" s="207"/>
      <c r="BQ252" s="207"/>
      <c r="BR252" s="207"/>
      <c r="BS252" s="207"/>
      <c r="BT252" s="207"/>
      <c r="BU252" s="207"/>
      <c r="BV252" s="207"/>
      <c r="BW252" s="207"/>
      <c r="BX252" s="207"/>
    </row>
    <row r="253" spans="1:101" s="73" customFormat="1" ht="13.5" customHeight="1">
      <c r="A253" s="74"/>
      <c r="B253" s="75"/>
      <c r="C253" s="75"/>
      <c r="D253" s="76" t="s">
        <v>224</v>
      </c>
      <c r="E253" s="114"/>
      <c r="F253" s="77">
        <f>0.7*(2+1.95)</f>
        <v>2.7650000000000001</v>
      </c>
      <c r="G253" s="78"/>
      <c r="H253" s="78"/>
      <c r="I253" s="234"/>
      <c r="J253" s="207"/>
      <c r="K253" s="207"/>
      <c r="L253" s="207"/>
      <c r="M253" s="207"/>
      <c r="N253" s="207"/>
      <c r="O253" s="207"/>
      <c r="P253" s="207"/>
      <c r="Q253" s="207"/>
      <c r="R253" s="207"/>
      <c r="S253" s="207"/>
      <c r="T253" s="207"/>
      <c r="U253" s="207"/>
      <c r="V253" s="207"/>
      <c r="W253" s="207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/>
      <c r="AH253" s="207"/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  <c r="BI253" s="207"/>
      <c r="BJ253" s="207"/>
      <c r="BK253" s="207"/>
      <c r="BL253" s="207"/>
      <c r="BM253" s="207"/>
      <c r="BN253" s="207"/>
      <c r="BO253" s="207"/>
      <c r="BP253" s="207"/>
      <c r="BQ253" s="207"/>
      <c r="BR253" s="207"/>
      <c r="BS253" s="207"/>
      <c r="BT253" s="207"/>
      <c r="BU253" s="207"/>
      <c r="BV253" s="207"/>
      <c r="BW253" s="207"/>
      <c r="BX253" s="207"/>
    </row>
    <row r="254" spans="1:101" s="252" customFormat="1" ht="13.5" customHeight="1">
      <c r="A254" s="67">
        <v>46</v>
      </c>
      <c r="B254" s="69" t="s">
        <v>194</v>
      </c>
      <c r="C254" s="69">
        <v>763131722</v>
      </c>
      <c r="D254" s="69" t="s">
        <v>225</v>
      </c>
      <c r="E254" s="69" t="s">
        <v>41</v>
      </c>
      <c r="F254" s="257">
        <f>SUM(F255:F255)</f>
        <v>4.1475</v>
      </c>
      <c r="G254" s="71"/>
      <c r="H254" s="71">
        <f>F254*G254</f>
        <v>0</v>
      </c>
      <c r="I254" s="101" t="s">
        <v>31</v>
      </c>
      <c r="J254" s="312"/>
      <c r="K254" s="299"/>
      <c r="L254" s="299"/>
      <c r="M254" s="299"/>
      <c r="N254" s="299"/>
      <c r="O254" s="299"/>
      <c r="P254" s="299"/>
      <c r="Q254" s="319"/>
      <c r="R254" s="299"/>
      <c r="S254" s="299"/>
      <c r="T254" s="299"/>
      <c r="U254" s="299"/>
      <c r="V254" s="299"/>
      <c r="W254" s="299"/>
      <c r="X254" s="299"/>
      <c r="Y254" s="299"/>
      <c r="Z254" s="299"/>
      <c r="AA254" s="299"/>
      <c r="AB254" s="299"/>
      <c r="AC254" s="299"/>
      <c r="AD254" s="299"/>
      <c r="AE254" s="299"/>
      <c r="AF254" s="299"/>
      <c r="AG254" s="299"/>
      <c r="AH254" s="299"/>
      <c r="AI254" s="299"/>
      <c r="AJ254" s="299"/>
      <c r="AK254" s="299"/>
      <c r="AL254" s="299"/>
      <c r="AM254" s="299"/>
      <c r="AN254" s="299"/>
      <c r="AO254" s="299"/>
      <c r="AP254" s="299"/>
      <c r="AQ254" s="299"/>
      <c r="AR254" s="299"/>
      <c r="AS254" s="299"/>
      <c r="AT254" s="299"/>
      <c r="AU254" s="299"/>
      <c r="AV254" s="299"/>
      <c r="AW254" s="299"/>
      <c r="AX254" s="299"/>
      <c r="AY254" s="299"/>
      <c r="AZ254" s="299"/>
      <c r="BA254" s="299"/>
      <c r="BB254" s="299"/>
      <c r="BC254" s="299"/>
      <c r="BD254" s="299"/>
      <c r="BE254" s="299"/>
      <c r="BF254" s="299"/>
      <c r="BG254" s="299"/>
      <c r="BH254" s="299"/>
      <c r="BI254" s="299"/>
      <c r="BJ254" s="299"/>
      <c r="BK254" s="299"/>
      <c r="BL254" s="299"/>
      <c r="BM254" s="299"/>
      <c r="BN254" s="299"/>
      <c r="BO254" s="299"/>
      <c r="BP254" s="299"/>
      <c r="BQ254" s="299"/>
      <c r="BR254" s="299"/>
      <c r="BS254" s="299"/>
      <c r="BT254" s="299"/>
      <c r="BU254" s="299"/>
      <c r="BV254" s="299"/>
      <c r="BW254" s="299"/>
      <c r="BX254" s="299"/>
    </row>
    <row r="255" spans="1:101" s="252" customFormat="1" ht="13.5" customHeight="1">
      <c r="A255" s="67"/>
      <c r="B255" s="69"/>
      <c r="C255" s="69"/>
      <c r="D255" s="76" t="s">
        <v>226</v>
      </c>
      <c r="E255" s="69"/>
      <c r="F255" s="77">
        <f>(1.95+2)*1.05</f>
        <v>4.1475</v>
      </c>
      <c r="G255" s="71"/>
      <c r="H255" s="71"/>
      <c r="I255" s="101"/>
      <c r="J255" s="216"/>
      <c r="K255" s="299"/>
      <c r="L255" s="299"/>
      <c r="M255" s="299"/>
      <c r="N255" s="299"/>
      <c r="O255" s="299"/>
      <c r="P255" s="299"/>
      <c r="Q255" s="319"/>
      <c r="R255" s="299"/>
      <c r="S255" s="299"/>
      <c r="T255" s="299"/>
      <c r="U255" s="299"/>
      <c r="V255" s="299"/>
      <c r="W255" s="299"/>
      <c r="X255" s="299"/>
      <c r="Y255" s="299"/>
      <c r="Z255" s="299"/>
      <c r="AA255" s="299"/>
      <c r="AB255" s="299"/>
      <c r="AC255" s="299"/>
      <c r="AD255" s="299"/>
      <c r="AE255" s="299"/>
      <c r="AF255" s="299"/>
      <c r="AG255" s="299"/>
      <c r="AH255" s="299"/>
      <c r="AI255" s="299"/>
      <c r="AJ255" s="299"/>
      <c r="AK255" s="299"/>
      <c r="AL255" s="299"/>
      <c r="AM255" s="299"/>
      <c r="AN255" s="299"/>
      <c r="AO255" s="299"/>
      <c r="AP255" s="299"/>
      <c r="AQ255" s="299"/>
      <c r="AR255" s="299"/>
      <c r="AS255" s="299"/>
      <c r="AT255" s="299"/>
      <c r="AU255" s="299"/>
      <c r="AV255" s="299"/>
      <c r="AW255" s="299"/>
      <c r="AX255" s="299"/>
      <c r="AY255" s="299"/>
      <c r="AZ255" s="299"/>
      <c r="BA255" s="299"/>
      <c r="BB255" s="299"/>
      <c r="BC255" s="299"/>
      <c r="BD255" s="299"/>
      <c r="BE255" s="299"/>
      <c r="BF255" s="299"/>
      <c r="BG255" s="299"/>
      <c r="BH255" s="299"/>
      <c r="BI255" s="299"/>
      <c r="BJ255" s="299"/>
      <c r="BK255" s="299"/>
      <c r="BL255" s="299"/>
      <c r="BM255" s="299"/>
      <c r="BN255" s="299"/>
      <c r="BO255" s="299"/>
      <c r="BP255" s="299"/>
      <c r="BQ255" s="299"/>
      <c r="BR255" s="299"/>
      <c r="BS255" s="299"/>
      <c r="BT255" s="299"/>
      <c r="BU255" s="299"/>
      <c r="BV255" s="299"/>
      <c r="BW255" s="299"/>
      <c r="BX255" s="299"/>
    </row>
    <row r="256" spans="1:101" s="38" customFormat="1" ht="13.5" customHeight="1">
      <c r="A256" s="67">
        <v>47</v>
      </c>
      <c r="B256" s="69" t="s">
        <v>194</v>
      </c>
      <c r="C256" s="69">
        <v>763131765</v>
      </c>
      <c r="D256" s="69" t="s">
        <v>227</v>
      </c>
      <c r="E256" s="69" t="s">
        <v>30</v>
      </c>
      <c r="F256" s="257">
        <f>SUM(F258:F261)</f>
        <v>22.32</v>
      </c>
      <c r="G256" s="71"/>
      <c r="H256" s="71">
        <f>F256*G256</f>
        <v>0</v>
      </c>
      <c r="I256" s="101" t="s">
        <v>31</v>
      </c>
      <c r="J256" s="312"/>
      <c r="K256" s="310"/>
      <c r="L256" s="298"/>
      <c r="M256" s="299"/>
      <c r="N256" s="300"/>
      <c r="O256" s="311"/>
      <c r="P256" s="207"/>
      <c r="Q256" s="207"/>
      <c r="R256" s="302"/>
    </row>
    <row r="257" spans="1:101" s="38" customFormat="1" ht="13.5" customHeight="1">
      <c r="A257" s="67"/>
      <c r="B257" s="69"/>
      <c r="C257" s="69"/>
      <c r="D257" s="111" t="s">
        <v>228</v>
      </c>
      <c r="E257" s="69"/>
      <c r="G257" s="71"/>
      <c r="H257" s="71"/>
      <c r="I257" s="101"/>
      <c r="J257" s="210"/>
    </row>
    <row r="258" spans="1:101" s="38" customFormat="1" ht="13.5" customHeight="1">
      <c r="A258" s="67"/>
      <c r="B258" s="69"/>
      <c r="C258" s="69"/>
      <c r="D258" s="111" t="s">
        <v>229</v>
      </c>
      <c r="E258" s="69"/>
      <c r="F258" s="269">
        <f>2.28+3.71</f>
        <v>5.99</v>
      </c>
      <c r="G258" s="71"/>
      <c r="H258" s="71"/>
      <c r="I258" s="101"/>
      <c r="J258" s="358"/>
    </row>
    <row r="259" spans="1:101" s="38" customFormat="1" ht="13.5" customHeight="1">
      <c r="A259" s="67"/>
      <c r="B259" s="69"/>
      <c r="C259" s="69"/>
      <c r="D259" s="111" t="s">
        <v>230</v>
      </c>
      <c r="E259" s="69"/>
      <c r="F259" s="269">
        <f>4.51+1.49</f>
        <v>6</v>
      </c>
      <c r="G259" s="71"/>
      <c r="H259" s="71"/>
      <c r="I259" s="101"/>
      <c r="J259" s="210"/>
    </row>
    <row r="260" spans="1:101" s="38" customFormat="1" ht="13.5" customHeight="1">
      <c r="A260" s="67"/>
      <c r="B260" s="69"/>
      <c r="C260" s="69"/>
      <c r="D260" s="111" t="s">
        <v>231</v>
      </c>
      <c r="E260" s="69"/>
      <c r="F260" s="269">
        <f>2.08+3.34</f>
        <v>5.42</v>
      </c>
      <c r="G260" s="71"/>
      <c r="H260" s="71"/>
      <c r="I260" s="101"/>
      <c r="J260" s="210"/>
    </row>
    <row r="261" spans="1:101" s="38" customFormat="1" ht="13.5" customHeight="1">
      <c r="A261" s="67"/>
      <c r="B261" s="69"/>
      <c r="C261" s="69"/>
      <c r="D261" s="111" t="s">
        <v>232</v>
      </c>
      <c r="E261" s="69"/>
      <c r="F261" s="269">
        <f>1.95+2.96</f>
        <v>4.91</v>
      </c>
      <c r="G261" s="71"/>
      <c r="H261" s="71"/>
      <c r="I261" s="101"/>
      <c r="J261" s="210"/>
    </row>
    <row r="262" spans="1:101" s="38" customFormat="1" ht="13.5" customHeight="1">
      <c r="A262" s="67">
        <v>48</v>
      </c>
      <c r="B262" s="69" t="s">
        <v>194</v>
      </c>
      <c r="C262" s="69">
        <v>763131766</v>
      </c>
      <c r="D262" s="69" t="s">
        <v>233</v>
      </c>
      <c r="E262" s="69" t="s">
        <v>30</v>
      </c>
      <c r="F262" s="257">
        <f>SUM(F264)</f>
        <v>3.85</v>
      </c>
      <c r="G262" s="71"/>
      <c r="H262" s="71">
        <f>F262*G262</f>
        <v>0</v>
      </c>
      <c r="I262" s="101" t="s">
        <v>31</v>
      </c>
      <c r="J262" s="312"/>
      <c r="K262" s="310"/>
      <c r="L262" s="298"/>
      <c r="M262" s="299"/>
      <c r="N262" s="300"/>
      <c r="O262" s="311"/>
      <c r="P262" s="207"/>
      <c r="Q262" s="207"/>
      <c r="R262" s="302"/>
    </row>
    <row r="263" spans="1:101" s="38" customFormat="1" ht="13.5" customHeight="1">
      <c r="A263" s="67"/>
      <c r="B263" s="69"/>
      <c r="C263" s="69"/>
      <c r="D263" s="111" t="s">
        <v>234</v>
      </c>
      <c r="E263" s="69"/>
      <c r="G263" s="71"/>
      <c r="H263" s="71"/>
      <c r="I263" s="101"/>
      <c r="J263" s="358"/>
    </row>
    <row r="264" spans="1:101" s="38" customFormat="1" ht="13.5" customHeight="1">
      <c r="A264" s="67"/>
      <c r="B264" s="69"/>
      <c r="C264" s="69"/>
      <c r="D264" s="111" t="s">
        <v>235</v>
      </c>
      <c r="E264" s="69"/>
      <c r="F264" s="269">
        <f>3.85</f>
        <v>3.85</v>
      </c>
      <c r="G264" s="71"/>
      <c r="H264" s="71"/>
      <c r="I264" s="101"/>
      <c r="J264" s="210"/>
    </row>
    <row r="265" spans="1:101" s="256" customFormat="1" ht="13.5" customHeight="1">
      <c r="A265" s="67">
        <v>49</v>
      </c>
      <c r="B265" s="68" t="s">
        <v>194</v>
      </c>
      <c r="C265" s="69">
        <v>998763403</v>
      </c>
      <c r="D265" s="69" t="s">
        <v>236</v>
      </c>
      <c r="E265" s="69" t="s">
        <v>237</v>
      </c>
      <c r="F265" s="100">
        <v>1.62</v>
      </c>
      <c r="G265" s="71"/>
      <c r="H265" s="71">
        <f>F265*G265</f>
        <v>0</v>
      </c>
      <c r="I265" s="101" t="s">
        <v>31</v>
      </c>
      <c r="J265" s="320"/>
      <c r="K265" s="207"/>
      <c r="L265" s="207"/>
      <c r="M265" s="207"/>
      <c r="N265" s="207"/>
      <c r="O265" s="207"/>
      <c r="P265" s="207"/>
      <c r="Q265" s="207"/>
      <c r="R265" s="207"/>
      <c r="S265" s="207"/>
      <c r="T265" s="207"/>
      <c r="U265" s="207"/>
      <c r="V265" s="207"/>
      <c r="W265" s="207"/>
      <c r="X265" s="207"/>
      <c r="Y265" s="207"/>
      <c r="Z265" s="207"/>
      <c r="AA265" s="207"/>
      <c r="AB265" s="207"/>
      <c r="AC265" s="207"/>
      <c r="AD265" s="207"/>
      <c r="AE265" s="207"/>
      <c r="AF265" s="207"/>
      <c r="AG265" s="207"/>
      <c r="AH265" s="207"/>
      <c r="AI265" s="207"/>
      <c r="AJ265" s="207"/>
      <c r="AK265" s="207"/>
      <c r="AL265" s="207"/>
      <c r="AM265" s="207"/>
      <c r="AN265" s="207"/>
      <c r="AO265" s="207"/>
      <c r="AP265" s="207"/>
      <c r="AQ265" s="207"/>
      <c r="AR265" s="207"/>
      <c r="AS265" s="207"/>
      <c r="AT265" s="207"/>
      <c r="AU265" s="207"/>
      <c r="AV265" s="207"/>
      <c r="AW265" s="207"/>
      <c r="AX265" s="207"/>
      <c r="AY265" s="207"/>
      <c r="AZ265" s="207"/>
      <c r="BA265" s="207"/>
      <c r="BB265" s="207"/>
      <c r="BC265" s="207"/>
      <c r="BD265" s="207"/>
      <c r="BE265" s="207"/>
      <c r="BF265" s="207"/>
      <c r="BG265" s="207"/>
      <c r="BH265" s="207"/>
      <c r="BI265" s="207"/>
      <c r="BJ265" s="207"/>
      <c r="BK265" s="207"/>
      <c r="BL265" s="207"/>
      <c r="BM265" s="207"/>
      <c r="BN265" s="207"/>
      <c r="BO265" s="207"/>
      <c r="BP265" s="207"/>
      <c r="BQ265" s="207"/>
      <c r="BR265" s="207"/>
      <c r="BS265" s="207"/>
      <c r="BT265" s="207"/>
      <c r="BU265" s="207"/>
      <c r="BV265" s="207"/>
      <c r="BW265" s="207"/>
      <c r="BX265" s="207"/>
      <c r="BY265" s="73"/>
      <c r="BZ265" s="73"/>
      <c r="CA265" s="73"/>
      <c r="CB265" s="73"/>
      <c r="CC265" s="73"/>
      <c r="CD265" s="73"/>
      <c r="CE265" s="73"/>
      <c r="CF265" s="73"/>
      <c r="CG265" s="73"/>
      <c r="CH265" s="73"/>
      <c r="CI265" s="73"/>
      <c r="CJ265" s="73"/>
      <c r="CK265" s="73"/>
      <c r="CL265" s="73"/>
      <c r="CM265" s="73"/>
      <c r="CN265" s="73"/>
      <c r="CO265" s="73"/>
      <c r="CP265" s="73"/>
      <c r="CQ265" s="73"/>
      <c r="CR265" s="73"/>
      <c r="CS265" s="73"/>
      <c r="CT265" s="73"/>
      <c r="CU265" s="73"/>
      <c r="CV265" s="73"/>
      <c r="CW265" s="73"/>
    </row>
    <row r="266" spans="1:101" s="273" customFormat="1" ht="13.5" customHeight="1">
      <c r="A266" s="67">
        <v>50</v>
      </c>
      <c r="B266" s="69" t="s">
        <v>50</v>
      </c>
      <c r="C266" s="69" t="s">
        <v>238</v>
      </c>
      <c r="D266" s="69" t="s">
        <v>239</v>
      </c>
      <c r="E266" s="69" t="s">
        <v>53</v>
      </c>
      <c r="F266" s="100">
        <f>F267</f>
        <v>35</v>
      </c>
      <c r="G266" s="71"/>
      <c r="H266" s="71">
        <f>F266*G266</f>
        <v>0</v>
      </c>
      <c r="I266" s="101" t="s">
        <v>31</v>
      </c>
      <c r="J266" s="299"/>
      <c r="K266" s="299"/>
      <c r="L266" s="299"/>
      <c r="M266" s="299"/>
      <c r="N266" s="299"/>
      <c r="O266" s="299"/>
      <c r="P266" s="299"/>
      <c r="Q266" s="299"/>
      <c r="R266" s="299"/>
      <c r="S266" s="299"/>
      <c r="T266" s="299"/>
      <c r="U266" s="299"/>
      <c r="V266" s="299"/>
      <c r="W266" s="299"/>
      <c r="X266" s="299"/>
      <c r="Y266" s="299"/>
      <c r="Z266" s="299"/>
      <c r="AA266" s="299"/>
      <c r="AB266" s="299"/>
      <c r="AC266" s="299"/>
      <c r="AD266" s="299"/>
      <c r="AE266" s="299"/>
      <c r="AF266" s="299"/>
      <c r="AG266" s="299"/>
      <c r="AH266" s="299"/>
      <c r="AI266" s="299"/>
      <c r="AJ266" s="299"/>
      <c r="AK266" s="299"/>
      <c r="AL266" s="299"/>
      <c r="AM266" s="299"/>
      <c r="AN266" s="299"/>
      <c r="AO266" s="299"/>
      <c r="AP266" s="299"/>
      <c r="AQ266" s="299"/>
      <c r="AR266" s="299"/>
      <c r="AS266" s="299"/>
      <c r="AT266" s="299"/>
      <c r="AU266" s="299"/>
      <c r="AV266" s="299"/>
      <c r="AW266" s="299"/>
      <c r="AX266" s="299"/>
      <c r="AY266" s="299"/>
      <c r="AZ266" s="299"/>
      <c r="BA266" s="299"/>
      <c r="BB266" s="299"/>
      <c r="BC266" s="299"/>
      <c r="BD266" s="299"/>
      <c r="BE266" s="299"/>
      <c r="BF266" s="299"/>
      <c r="BG266" s="299"/>
      <c r="BH266" s="299"/>
      <c r="BI266" s="299"/>
      <c r="BJ266" s="299"/>
      <c r="BK266" s="299"/>
      <c r="BL266" s="299"/>
      <c r="BM266" s="299"/>
      <c r="BN266" s="299"/>
      <c r="BO266" s="299"/>
      <c r="BP266" s="299"/>
      <c r="BQ266" s="299"/>
      <c r="BR266" s="299"/>
      <c r="BS266" s="299"/>
      <c r="BT266" s="299"/>
      <c r="BU266" s="299"/>
      <c r="BV266" s="299"/>
      <c r="BW266" s="299"/>
      <c r="BX266" s="299"/>
      <c r="BY266" s="252"/>
      <c r="BZ266" s="252"/>
      <c r="CA266" s="252"/>
      <c r="CB266" s="252"/>
      <c r="CC266" s="252"/>
      <c r="CD266" s="252"/>
      <c r="CE266" s="252"/>
      <c r="CF266" s="252"/>
      <c r="CG266" s="252"/>
      <c r="CH266" s="252"/>
      <c r="CI266" s="252"/>
      <c r="CJ266" s="252"/>
      <c r="CK266" s="252"/>
      <c r="CL266" s="252"/>
      <c r="CM266" s="252"/>
      <c r="CN266" s="252"/>
      <c r="CO266" s="252"/>
      <c r="CP266" s="252"/>
      <c r="CQ266" s="252"/>
      <c r="CR266" s="252"/>
      <c r="CS266" s="252"/>
      <c r="CT266" s="252"/>
      <c r="CU266" s="252"/>
      <c r="CV266" s="252"/>
      <c r="CW266" s="252"/>
    </row>
    <row r="267" spans="1:101" s="8" customFormat="1" ht="13.5" customHeight="1">
      <c r="A267" s="112"/>
      <c r="B267" s="114"/>
      <c r="C267" s="114"/>
      <c r="D267" s="76" t="s">
        <v>240</v>
      </c>
      <c r="E267" s="114"/>
      <c r="F267" s="77">
        <v>35</v>
      </c>
      <c r="G267" s="144"/>
      <c r="H267" s="71"/>
      <c r="I267" s="110"/>
      <c r="J267" s="207"/>
      <c r="K267" s="207"/>
      <c r="L267" s="207"/>
      <c r="M267" s="207"/>
      <c r="N267" s="207"/>
      <c r="O267" s="207"/>
      <c r="P267" s="207"/>
      <c r="Q267" s="207"/>
      <c r="R267" s="207"/>
      <c r="S267" s="207"/>
      <c r="T267" s="207"/>
      <c r="U267" s="207"/>
      <c r="V267" s="207"/>
      <c r="W267" s="207"/>
      <c r="X267" s="207"/>
      <c r="Y267" s="207"/>
      <c r="Z267" s="207"/>
      <c r="AA267" s="207"/>
      <c r="AB267" s="207"/>
      <c r="AC267" s="207"/>
      <c r="AD267" s="207"/>
      <c r="AE267" s="207"/>
      <c r="AF267" s="207"/>
      <c r="AG267" s="207"/>
      <c r="AH267" s="207"/>
      <c r="AI267" s="207"/>
      <c r="AJ267" s="207"/>
      <c r="AK267" s="207"/>
      <c r="AL267" s="207"/>
      <c r="AM267" s="207"/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  <c r="BI267" s="207"/>
      <c r="BJ267" s="207"/>
      <c r="BK267" s="207"/>
      <c r="BL267" s="207"/>
      <c r="BM267" s="207"/>
      <c r="BN267" s="207"/>
      <c r="BO267" s="207"/>
      <c r="BP267" s="207"/>
      <c r="BQ267" s="207"/>
      <c r="BR267" s="207"/>
      <c r="BS267" s="207"/>
      <c r="BT267" s="207"/>
      <c r="BU267" s="207"/>
      <c r="BV267" s="207"/>
      <c r="BW267" s="207"/>
      <c r="BX267" s="207"/>
      <c r="BY267" s="73"/>
      <c r="BZ267" s="73"/>
      <c r="CA267" s="73"/>
      <c r="CB267" s="73"/>
      <c r="CC267" s="73"/>
      <c r="CD267" s="73"/>
      <c r="CE267" s="73"/>
      <c r="CF267" s="73"/>
      <c r="CG267" s="73"/>
      <c r="CH267" s="73"/>
      <c r="CI267" s="73"/>
      <c r="CJ267" s="73"/>
      <c r="CK267" s="73"/>
      <c r="CL267" s="73"/>
      <c r="CM267" s="73"/>
      <c r="CN267" s="73"/>
      <c r="CO267" s="73"/>
      <c r="CP267" s="73"/>
      <c r="CQ267" s="73"/>
      <c r="CR267" s="73"/>
      <c r="CS267" s="73"/>
      <c r="CT267" s="73"/>
      <c r="CU267" s="73"/>
      <c r="CV267" s="73"/>
      <c r="CW267" s="73"/>
    </row>
    <row r="268" spans="1:101" s="8" customFormat="1" ht="13.5" customHeight="1">
      <c r="A268" s="112"/>
      <c r="B268" s="114"/>
      <c r="C268" s="114"/>
      <c r="D268" s="76" t="s">
        <v>241</v>
      </c>
      <c r="E268" s="114"/>
      <c r="F268" s="77"/>
      <c r="G268" s="144"/>
      <c r="H268" s="71"/>
      <c r="I268" s="110"/>
      <c r="J268" s="207"/>
      <c r="K268" s="207"/>
      <c r="L268" s="207"/>
      <c r="M268" s="207"/>
      <c r="N268" s="207"/>
      <c r="O268" s="207"/>
      <c r="P268" s="207"/>
      <c r="Q268" s="207"/>
      <c r="R268" s="207"/>
      <c r="S268" s="207"/>
      <c r="T268" s="207"/>
      <c r="U268" s="207"/>
      <c r="V268" s="207"/>
      <c r="W268" s="207"/>
      <c r="X268" s="207"/>
      <c r="Y268" s="207"/>
      <c r="Z268" s="207"/>
      <c r="AA268" s="207"/>
      <c r="AB268" s="207"/>
      <c r="AC268" s="207"/>
      <c r="AD268" s="207"/>
      <c r="AE268" s="207"/>
      <c r="AF268" s="207"/>
      <c r="AG268" s="207"/>
      <c r="AH268" s="207"/>
      <c r="AI268" s="207"/>
      <c r="AJ268" s="207"/>
      <c r="AK268" s="207"/>
      <c r="AL268" s="207"/>
      <c r="AM268" s="207"/>
      <c r="AN268" s="207"/>
      <c r="AO268" s="207"/>
      <c r="AP268" s="207"/>
      <c r="AQ268" s="207"/>
      <c r="AR268" s="207"/>
      <c r="AS268" s="207"/>
      <c r="AT268" s="207"/>
      <c r="AU268" s="207"/>
      <c r="AV268" s="207"/>
      <c r="AW268" s="207"/>
      <c r="AX268" s="207"/>
      <c r="AY268" s="207"/>
      <c r="AZ268" s="207"/>
      <c r="BA268" s="207"/>
      <c r="BB268" s="207"/>
      <c r="BC268" s="207"/>
      <c r="BD268" s="207"/>
      <c r="BE268" s="207"/>
      <c r="BF268" s="207"/>
      <c r="BG268" s="207"/>
      <c r="BH268" s="207"/>
      <c r="BI268" s="207"/>
      <c r="BJ268" s="207"/>
      <c r="BK268" s="207"/>
      <c r="BL268" s="207"/>
      <c r="BM268" s="207"/>
      <c r="BN268" s="207"/>
      <c r="BO268" s="207"/>
      <c r="BP268" s="207"/>
      <c r="BQ268" s="207"/>
      <c r="BR268" s="207"/>
      <c r="BS268" s="207"/>
      <c r="BT268" s="207"/>
      <c r="BU268" s="207"/>
      <c r="BV268" s="207"/>
      <c r="BW268" s="207"/>
      <c r="BX268" s="207"/>
      <c r="BY268" s="73"/>
      <c r="BZ268" s="73"/>
      <c r="CA268" s="73"/>
      <c r="CB268" s="73"/>
      <c r="CC268" s="73"/>
      <c r="CD268" s="73"/>
      <c r="CE268" s="73"/>
      <c r="CF268" s="73"/>
      <c r="CG268" s="73"/>
      <c r="CH268" s="73"/>
      <c r="CI268" s="73"/>
      <c r="CJ268" s="73"/>
      <c r="CK268" s="73"/>
      <c r="CL268" s="73"/>
      <c r="CM268" s="73"/>
      <c r="CN268" s="73"/>
      <c r="CO268" s="73"/>
      <c r="CP268" s="73"/>
      <c r="CQ268" s="73"/>
      <c r="CR268" s="73"/>
      <c r="CS268" s="73"/>
      <c r="CT268" s="73"/>
      <c r="CU268" s="73"/>
      <c r="CV268" s="73"/>
      <c r="CW268" s="73"/>
    </row>
    <row r="269" spans="1:101" s="5" customFormat="1" ht="13.5" customHeight="1">
      <c r="A269" s="74"/>
      <c r="B269" s="75"/>
      <c r="C269" s="75">
        <v>771</v>
      </c>
      <c r="D269" s="75" t="s">
        <v>69</v>
      </c>
      <c r="E269" s="75"/>
      <c r="F269" s="158"/>
      <c r="G269" s="78"/>
      <c r="H269" s="78">
        <f>SUM(H270:H272,H276:H302)</f>
        <v>0</v>
      </c>
      <c r="I269" s="234"/>
      <c r="J269" s="321"/>
      <c r="K269" s="211"/>
      <c r="L269" s="211"/>
      <c r="M269" s="211"/>
      <c r="N269" s="211"/>
      <c r="O269" s="211"/>
      <c r="P269" s="211"/>
      <c r="Q269" s="211"/>
      <c r="R269" s="211"/>
      <c r="S269" s="211"/>
      <c r="T269" s="211"/>
      <c r="U269" s="211"/>
      <c r="V269" s="211"/>
      <c r="W269" s="211"/>
      <c r="X269" s="211"/>
      <c r="Y269" s="211"/>
      <c r="Z269" s="211"/>
      <c r="AA269" s="211"/>
      <c r="AB269" s="211"/>
      <c r="AC269" s="211"/>
      <c r="AD269" s="211"/>
      <c r="AE269" s="211"/>
      <c r="AF269" s="211"/>
      <c r="AG269" s="211"/>
      <c r="AH269" s="211"/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109"/>
      <c r="AT269" s="109"/>
      <c r="AU269" s="109"/>
      <c r="AV269" s="109"/>
      <c r="AW269" s="109"/>
      <c r="AX269" s="109"/>
      <c r="AY269" s="109"/>
      <c r="AZ269" s="109"/>
      <c r="BA269" s="109"/>
      <c r="BB269" s="109"/>
      <c r="BC269" s="109"/>
      <c r="BD269" s="109"/>
      <c r="BE269" s="109"/>
      <c r="BF269" s="109"/>
      <c r="BG269" s="109"/>
      <c r="BH269" s="109"/>
      <c r="BI269" s="109"/>
      <c r="BJ269" s="109"/>
      <c r="BK269" s="109"/>
      <c r="BL269" s="109"/>
      <c r="BM269" s="109"/>
      <c r="BN269" s="109"/>
      <c r="BO269" s="109"/>
      <c r="BP269" s="109"/>
      <c r="BQ269" s="109"/>
      <c r="BR269" s="109"/>
      <c r="BS269" s="109"/>
      <c r="BT269" s="109"/>
      <c r="BU269" s="109"/>
      <c r="BV269" s="109"/>
      <c r="BW269" s="109"/>
      <c r="BX269" s="109"/>
      <c r="BY269" s="109"/>
      <c r="BZ269" s="109"/>
      <c r="CA269" s="109"/>
      <c r="CB269" s="109"/>
      <c r="CC269" s="109"/>
      <c r="CD269" s="109"/>
      <c r="CE269" s="109"/>
      <c r="CF269" s="109"/>
      <c r="CG269" s="109"/>
      <c r="CH269" s="109"/>
      <c r="CI269" s="109"/>
      <c r="CJ269" s="109"/>
      <c r="CK269" s="109"/>
      <c r="CL269" s="109"/>
      <c r="CM269" s="109"/>
      <c r="CN269" s="109"/>
      <c r="CO269" s="109"/>
      <c r="CP269" s="109"/>
      <c r="CQ269" s="109"/>
      <c r="CR269" s="109"/>
      <c r="CS269" s="109"/>
      <c r="CT269" s="109"/>
      <c r="CU269" s="109"/>
      <c r="CV269" s="109"/>
      <c r="CW269" s="109"/>
    </row>
    <row r="270" spans="1:101" s="5" customFormat="1" ht="13.5" customHeight="1">
      <c r="A270" s="67">
        <v>51</v>
      </c>
      <c r="B270" s="69">
        <v>771</v>
      </c>
      <c r="C270" s="69" t="s">
        <v>242</v>
      </c>
      <c r="D270" s="69" t="s">
        <v>243</v>
      </c>
      <c r="E270" s="69" t="s">
        <v>30</v>
      </c>
      <c r="F270" s="100">
        <f>SUM(F278:F283)</f>
        <v>170</v>
      </c>
      <c r="G270" s="108">
        <f>SUM(H273:H275)/F270</f>
        <v>0</v>
      </c>
      <c r="H270" s="71">
        <f>F270*G270</f>
        <v>0</v>
      </c>
      <c r="I270" s="101" t="s">
        <v>39</v>
      </c>
      <c r="J270" s="322"/>
      <c r="K270" s="211"/>
      <c r="L270" s="211"/>
      <c r="M270" s="211"/>
      <c r="N270" s="211"/>
      <c r="O270" s="211"/>
      <c r="P270" s="211"/>
      <c r="Q270" s="211"/>
      <c r="R270" s="211"/>
      <c r="S270" s="211"/>
      <c r="T270" s="211"/>
      <c r="U270" s="211"/>
      <c r="V270" s="211"/>
      <c r="W270" s="211"/>
      <c r="X270" s="211"/>
      <c r="Y270" s="211"/>
      <c r="Z270" s="211"/>
      <c r="AA270" s="211"/>
      <c r="AB270" s="211"/>
      <c r="AC270" s="211"/>
      <c r="AD270" s="211"/>
      <c r="AE270" s="211"/>
      <c r="AF270" s="211"/>
      <c r="AG270" s="211"/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109"/>
      <c r="AT270" s="109"/>
      <c r="AU270" s="109"/>
      <c r="AV270" s="109"/>
      <c r="AW270" s="109"/>
      <c r="AX270" s="109"/>
      <c r="AY270" s="109"/>
      <c r="AZ270" s="109"/>
      <c r="BA270" s="109"/>
      <c r="BB270" s="109"/>
      <c r="BC270" s="109"/>
      <c r="BD270" s="109"/>
      <c r="BE270" s="109"/>
      <c r="BF270" s="109"/>
      <c r="BG270" s="109"/>
      <c r="BH270" s="109"/>
      <c r="BI270" s="109"/>
      <c r="BJ270" s="109"/>
      <c r="BK270" s="109"/>
      <c r="BL270" s="109"/>
      <c r="BM270" s="109"/>
      <c r="BN270" s="109"/>
      <c r="BO270" s="109"/>
      <c r="BP270" s="109"/>
      <c r="BQ270" s="109"/>
      <c r="BR270" s="109"/>
      <c r="BS270" s="109"/>
      <c r="BT270" s="109"/>
      <c r="BU270" s="109"/>
      <c r="BV270" s="109"/>
      <c r="BW270" s="109"/>
      <c r="BX270" s="109"/>
      <c r="BY270" s="109"/>
      <c r="BZ270" s="109"/>
      <c r="CA270" s="109"/>
      <c r="CB270" s="109"/>
      <c r="CC270" s="109"/>
      <c r="CD270" s="109"/>
      <c r="CE270" s="109"/>
      <c r="CF270" s="109"/>
      <c r="CG270" s="109"/>
      <c r="CH270" s="109"/>
      <c r="CI270" s="109"/>
      <c r="CJ270" s="109"/>
      <c r="CK270" s="109"/>
      <c r="CL270" s="109"/>
      <c r="CM270" s="109"/>
      <c r="CN270" s="109"/>
      <c r="CO270" s="109"/>
      <c r="CP270" s="109"/>
      <c r="CQ270" s="109"/>
      <c r="CR270" s="109"/>
      <c r="CS270" s="109"/>
      <c r="CT270" s="109"/>
      <c r="CU270" s="109"/>
      <c r="CV270" s="109"/>
      <c r="CW270" s="109"/>
    </row>
    <row r="271" spans="1:101" s="5" customFormat="1" ht="13.5" customHeight="1">
      <c r="A271" s="112"/>
      <c r="B271" s="114"/>
      <c r="C271" s="114"/>
      <c r="D271" s="76" t="s">
        <v>244</v>
      </c>
      <c r="E271" s="114"/>
      <c r="F271" s="77"/>
      <c r="G271" s="144"/>
      <c r="H271" s="71"/>
      <c r="I271" s="110"/>
      <c r="J271" s="211"/>
      <c r="K271" s="211"/>
      <c r="L271" s="211"/>
      <c r="M271" s="211"/>
      <c r="N271" s="211"/>
      <c r="O271" s="211"/>
      <c r="P271" s="211"/>
      <c r="Q271" s="211"/>
      <c r="R271" s="211"/>
      <c r="S271" s="211"/>
      <c r="T271" s="211"/>
      <c r="U271" s="211"/>
      <c r="V271" s="211"/>
      <c r="W271" s="211"/>
      <c r="X271" s="211"/>
      <c r="Y271" s="211"/>
      <c r="Z271" s="211"/>
      <c r="AA271" s="211"/>
      <c r="AB271" s="211"/>
      <c r="AC271" s="211"/>
      <c r="AD271" s="211"/>
      <c r="AE271" s="211"/>
      <c r="AF271" s="211"/>
      <c r="AG271" s="211"/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109"/>
      <c r="AT271" s="109"/>
      <c r="AU271" s="109"/>
      <c r="AV271" s="109"/>
      <c r="AW271" s="109"/>
      <c r="AX271" s="109"/>
      <c r="AY271" s="109"/>
      <c r="AZ271" s="109"/>
      <c r="BA271" s="109"/>
      <c r="BB271" s="109"/>
      <c r="BC271" s="109"/>
      <c r="BD271" s="109"/>
      <c r="BE271" s="109"/>
      <c r="BF271" s="109"/>
      <c r="BG271" s="109"/>
      <c r="BH271" s="109"/>
      <c r="BI271" s="109"/>
      <c r="BJ271" s="109"/>
      <c r="BK271" s="109"/>
      <c r="BL271" s="109"/>
      <c r="BM271" s="109"/>
      <c r="BN271" s="109"/>
      <c r="BO271" s="109"/>
      <c r="BP271" s="109"/>
      <c r="BQ271" s="109"/>
      <c r="BR271" s="109"/>
      <c r="BS271" s="109"/>
      <c r="BT271" s="109"/>
      <c r="BU271" s="109"/>
      <c r="BV271" s="109"/>
      <c r="BW271" s="109"/>
      <c r="BX271" s="109"/>
      <c r="BY271" s="109"/>
      <c r="BZ271" s="109"/>
      <c r="CA271" s="109"/>
      <c r="CB271" s="109"/>
      <c r="CC271" s="109"/>
      <c r="CD271" s="109"/>
      <c r="CE271" s="109"/>
      <c r="CF271" s="109"/>
      <c r="CG271" s="109"/>
      <c r="CH271" s="109"/>
      <c r="CI271" s="109"/>
      <c r="CJ271" s="109"/>
      <c r="CK271" s="109"/>
      <c r="CL271" s="109"/>
      <c r="CM271" s="109"/>
      <c r="CN271" s="109"/>
      <c r="CO271" s="109"/>
      <c r="CP271" s="109"/>
      <c r="CQ271" s="109"/>
      <c r="CR271" s="109"/>
      <c r="CS271" s="109"/>
      <c r="CT271" s="109"/>
      <c r="CU271" s="109"/>
      <c r="CV271" s="109"/>
      <c r="CW271" s="109"/>
    </row>
    <row r="272" spans="1:101" s="5" customFormat="1" ht="13.5" customHeight="1">
      <c r="A272" s="274"/>
      <c r="B272" s="114"/>
      <c r="C272" s="114"/>
      <c r="D272" s="111" t="s">
        <v>448</v>
      </c>
      <c r="E272" s="111"/>
      <c r="F272" s="77"/>
      <c r="G272" s="77"/>
      <c r="H272" s="77"/>
      <c r="I272" s="110"/>
      <c r="J272" s="211"/>
      <c r="K272" s="211"/>
      <c r="L272" s="211"/>
      <c r="M272" s="211"/>
      <c r="N272" s="211"/>
      <c r="O272" s="323"/>
      <c r="P272" s="324"/>
      <c r="Q272" s="211"/>
      <c r="R272" s="211"/>
      <c r="S272" s="211"/>
      <c r="T272" s="211"/>
      <c r="U272" s="211"/>
      <c r="V272" s="211"/>
      <c r="W272" s="211"/>
      <c r="X272" s="211"/>
      <c r="Y272" s="211"/>
      <c r="Z272" s="211"/>
      <c r="AA272" s="211"/>
      <c r="AB272" s="211"/>
      <c r="AC272" s="211"/>
      <c r="AD272" s="211"/>
      <c r="AE272" s="211"/>
      <c r="AF272" s="211"/>
      <c r="AG272" s="211"/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109"/>
      <c r="AT272" s="109"/>
      <c r="AU272" s="109"/>
      <c r="AV272" s="109"/>
      <c r="AW272" s="109"/>
      <c r="AX272" s="109"/>
      <c r="AY272" s="109"/>
      <c r="AZ272" s="109"/>
      <c r="BA272" s="109"/>
      <c r="BB272" s="109"/>
      <c r="BC272" s="109"/>
      <c r="BD272" s="109"/>
      <c r="BE272" s="109"/>
      <c r="BF272" s="109"/>
      <c r="BG272" s="109"/>
      <c r="BH272" s="109"/>
      <c r="BI272" s="109"/>
      <c r="BJ272" s="109"/>
      <c r="BK272" s="109"/>
      <c r="BL272" s="109"/>
      <c r="BM272" s="109"/>
      <c r="BN272" s="109"/>
      <c r="BO272" s="109"/>
      <c r="BP272" s="109"/>
      <c r="BQ272" s="109"/>
      <c r="BR272" s="109"/>
      <c r="BS272" s="109"/>
      <c r="BT272" s="109"/>
      <c r="BU272" s="109"/>
      <c r="BV272" s="109"/>
      <c r="BW272" s="109"/>
      <c r="BX272" s="109"/>
      <c r="BY272" s="109"/>
      <c r="BZ272" s="109"/>
      <c r="CA272" s="109"/>
      <c r="CB272" s="109"/>
      <c r="CC272" s="109"/>
      <c r="CD272" s="109"/>
      <c r="CE272" s="109"/>
      <c r="CF272" s="109"/>
      <c r="CG272" s="109"/>
      <c r="CH272" s="109"/>
      <c r="CI272" s="109"/>
      <c r="CJ272" s="109"/>
      <c r="CK272" s="109"/>
      <c r="CL272" s="109"/>
      <c r="CM272" s="109"/>
      <c r="CN272" s="109"/>
      <c r="CO272" s="109"/>
      <c r="CP272" s="109"/>
      <c r="CQ272" s="109"/>
      <c r="CR272" s="109"/>
      <c r="CS272" s="109"/>
      <c r="CT272" s="109"/>
      <c r="CU272" s="109"/>
      <c r="CV272" s="109"/>
      <c r="CW272" s="109"/>
    </row>
    <row r="273" spans="1:101" s="5" customFormat="1" ht="13.5" customHeight="1">
      <c r="A273" s="274" t="s">
        <v>464</v>
      </c>
      <c r="B273" s="114"/>
      <c r="C273" s="114"/>
      <c r="D273" s="76" t="s">
        <v>245</v>
      </c>
      <c r="E273" s="111" t="s">
        <v>30</v>
      </c>
      <c r="F273" s="275">
        <v>170</v>
      </c>
      <c r="G273" s="276"/>
      <c r="H273" s="342">
        <f>F273*G273</f>
        <v>0</v>
      </c>
      <c r="I273" s="110"/>
      <c r="J273" s="386"/>
      <c r="K273" s="207"/>
      <c r="L273" s="386"/>
      <c r="M273" s="207"/>
      <c r="N273" s="207"/>
      <c r="O273" s="207"/>
      <c r="P273" s="207"/>
      <c r="Q273" s="318"/>
      <c r="R273" s="207"/>
      <c r="S273" s="207"/>
      <c r="T273" s="211"/>
      <c r="U273" s="211"/>
      <c r="V273" s="211"/>
      <c r="W273" s="211"/>
      <c r="X273" s="211"/>
      <c r="Y273" s="211"/>
      <c r="Z273" s="211"/>
      <c r="AA273" s="211"/>
      <c r="AB273" s="211"/>
      <c r="AC273" s="211"/>
      <c r="AD273" s="211"/>
      <c r="AE273" s="211"/>
      <c r="AF273" s="211"/>
      <c r="AG273" s="211"/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109"/>
      <c r="AT273" s="109"/>
      <c r="AU273" s="109"/>
      <c r="AV273" s="109"/>
      <c r="AW273" s="109"/>
      <c r="AX273" s="109"/>
      <c r="AY273" s="109"/>
      <c r="AZ273" s="109"/>
      <c r="BA273" s="109"/>
      <c r="BB273" s="109"/>
      <c r="BC273" s="109"/>
      <c r="BD273" s="109"/>
      <c r="BE273" s="109"/>
      <c r="BF273" s="109"/>
      <c r="BG273" s="109"/>
      <c r="BH273" s="109"/>
      <c r="BI273" s="109"/>
      <c r="BJ273" s="109"/>
      <c r="BK273" s="109"/>
      <c r="BL273" s="109"/>
      <c r="BM273" s="109"/>
      <c r="BN273" s="109"/>
      <c r="BO273" s="109"/>
      <c r="BP273" s="109"/>
      <c r="BQ273" s="109"/>
      <c r="BR273" s="109"/>
      <c r="BS273" s="109"/>
      <c r="BT273" s="109"/>
      <c r="BU273" s="109"/>
      <c r="BV273" s="109"/>
      <c r="BW273" s="109"/>
      <c r="BX273" s="109"/>
      <c r="BY273" s="109"/>
      <c r="BZ273" s="109"/>
      <c r="CA273" s="109"/>
      <c r="CB273" s="109"/>
      <c r="CC273" s="109"/>
      <c r="CD273" s="109"/>
      <c r="CE273" s="109"/>
      <c r="CF273" s="109"/>
      <c r="CG273" s="109"/>
      <c r="CH273" s="109"/>
      <c r="CI273" s="109"/>
      <c r="CJ273" s="109"/>
      <c r="CK273" s="109"/>
      <c r="CL273" s="109"/>
      <c r="CM273" s="109"/>
      <c r="CN273" s="109"/>
      <c r="CO273" s="109"/>
      <c r="CP273" s="109"/>
      <c r="CQ273" s="109"/>
      <c r="CR273" s="109"/>
      <c r="CS273" s="109"/>
      <c r="CT273" s="109"/>
      <c r="CU273" s="109"/>
      <c r="CV273" s="109"/>
      <c r="CW273" s="109"/>
    </row>
    <row r="274" spans="1:101" s="5" customFormat="1" ht="13.5" customHeight="1">
      <c r="A274" s="274" t="s">
        <v>465</v>
      </c>
      <c r="B274" s="114"/>
      <c r="C274" s="114"/>
      <c r="D274" s="76" t="s">
        <v>246</v>
      </c>
      <c r="E274" s="111" t="s">
        <v>30</v>
      </c>
      <c r="F274" s="77">
        <v>204</v>
      </c>
      <c r="G274" s="276"/>
      <c r="H274" s="342">
        <f>F274*G274</f>
        <v>0</v>
      </c>
      <c r="I274" s="110"/>
      <c r="J274" s="387"/>
      <c r="K274" s="325"/>
      <c r="L274" s="387"/>
      <c r="M274" s="325"/>
      <c r="N274" s="325"/>
      <c r="O274" s="325"/>
      <c r="P274" s="325"/>
      <c r="Q274" s="388"/>
      <c r="R274" s="325"/>
      <c r="S274" s="325"/>
      <c r="T274" s="389"/>
      <c r="U274" s="389"/>
      <c r="V274" s="389"/>
      <c r="W274" s="211"/>
      <c r="X274" s="211"/>
      <c r="Y274" s="211"/>
      <c r="Z274" s="211"/>
      <c r="AA274" s="211"/>
      <c r="AB274" s="211"/>
      <c r="AC274" s="211"/>
      <c r="AD274" s="211"/>
      <c r="AE274" s="211"/>
      <c r="AF274" s="211"/>
      <c r="AG274" s="211"/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109"/>
      <c r="AT274" s="109"/>
      <c r="AU274" s="109"/>
      <c r="AV274" s="109"/>
      <c r="AW274" s="109"/>
      <c r="AX274" s="109"/>
      <c r="AY274" s="109"/>
      <c r="AZ274" s="109"/>
      <c r="BA274" s="109"/>
      <c r="BB274" s="109"/>
      <c r="BC274" s="109"/>
      <c r="BD274" s="109"/>
      <c r="BE274" s="109"/>
      <c r="BF274" s="109"/>
      <c r="BG274" s="109"/>
      <c r="BH274" s="109"/>
      <c r="BI274" s="109"/>
      <c r="BJ274" s="109"/>
      <c r="BK274" s="109"/>
      <c r="BL274" s="109"/>
      <c r="BM274" s="109"/>
      <c r="BN274" s="109"/>
      <c r="BO274" s="109"/>
      <c r="BP274" s="109"/>
      <c r="BQ274" s="109"/>
      <c r="BR274" s="109"/>
      <c r="BS274" s="109"/>
      <c r="BT274" s="109"/>
      <c r="BU274" s="109"/>
      <c r="BV274" s="109"/>
      <c r="BW274" s="109"/>
      <c r="BX274" s="109"/>
      <c r="BY274" s="109"/>
      <c r="BZ274" s="109"/>
      <c r="CA274" s="109"/>
      <c r="CB274" s="109"/>
      <c r="CC274" s="109"/>
      <c r="CD274" s="109"/>
      <c r="CE274" s="109"/>
      <c r="CF274" s="109"/>
      <c r="CG274" s="109"/>
      <c r="CH274" s="109"/>
      <c r="CI274" s="109"/>
      <c r="CJ274" s="109"/>
      <c r="CK274" s="109"/>
      <c r="CL274" s="109"/>
      <c r="CM274" s="109"/>
      <c r="CN274" s="109"/>
      <c r="CO274" s="109"/>
      <c r="CP274" s="109"/>
      <c r="CQ274" s="109"/>
      <c r="CR274" s="109"/>
      <c r="CS274" s="109"/>
      <c r="CT274" s="109"/>
      <c r="CU274" s="109"/>
      <c r="CV274" s="109"/>
      <c r="CW274" s="109"/>
    </row>
    <row r="275" spans="1:101" s="5" customFormat="1" ht="13.5" customHeight="1">
      <c r="A275" s="274" t="s">
        <v>466</v>
      </c>
      <c r="B275" s="114"/>
      <c r="C275" s="114"/>
      <c r="D275" s="111" t="s">
        <v>247</v>
      </c>
      <c r="E275" s="111" t="s">
        <v>30</v>
      </c>
      <c r="F275" s="77">
        <v>187</v>
      </c>
      <c r="G275" s="276"/>
      <c r="H275" s="342">
        <f>F275*G275</f>
        <v>0</v>
      </c>
      <c r="I275" s="143"/>
      <c r="J275" s="386"/>
      <c r="K275" s="207"/>
      <c r="L275" s="211"/>
      <c r="M275" s="211"/>
      <c r="N275" s="211"/>
      <c r="O275" s="211"/>
      <c r="P275" s="306"/>
      <c r="Q275" s="318"/>
      <c r="R275" s="211"/>
      <c r="S275" s="211"/>
      <c r="T275" s="211"/>
      <c r="U275" s="211"/>
      <c r="V275" s="211"/>
      <c r="W275" s="211"/>
      <c r="X275" s="211"/>
      <c r="Y275" s="211"/>
      <c r="Z275" s="211"/>
      <c r="AA275" s="211"/>
      <c r="AB275" s="211"/>
      <c r="AC275" s="211"/>
      <c r="AD275" s="211"/>
      <c r="AE275" s="211"/>
      <c r="AF275" s="211"/>
      <c r="AG275" s="211"/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109"/>
      <c r="AT275" s="109"/>
      <c r="AU275" s="109"/>
      <c r="AV275" s="109"/>
      <c r="AW275" s="109"/>
      <c r="AX275" s="109"/>
      <c r="AY275" s="109"/>
      <c r="AZ275" s="109"/>
      <c r="BA275" s="109"/>
      <c r="BB275" s="109"/>
      <c r="BC275" s="109"/>
      <c r="BD275" s="109"/>
      <c r="BE275" s="109"/>
      <c r="BF275" s="109"/>
      <c r="BG275" s="109"/>
      <c r="BH275" s="109"/>
      <c r="BI275" s="109"/>
      <c r="BJ275" s="109"/>
      <c r="BK275" s="109"/>
      <c r="BL275" s="109"/>
      <c r="BM275" s="109"/>
      <c r="BN275" s="109"/>
      <c r="BO275" s="109"/>
      <c r="BP275" s="109"/>
      <c r="BQ275" s="109"/>
      <c r="BR275" s="109"/>
      <c r="BS275" s="109"/>
      <c r="BT275" s="109"/>
      <c r="BU275" s="109"/>
      <c r="BV275" s="109"/>
      <c r="BW275" s="109"/>
      <c r="BX275" s="109"/>
      <c r="BY275" s="109"/>
      <c r="BZ275" s="109"/>
      <c r="CA275" s="109"/>
      <c r="CB275" s="109"/>
      <c r="CC275" s="109"/>
      <c r="CD275" s="109"/>
      <c r="CE275" s="109"/>
      <c r="CF275" s="109"/>
      <c r="CG275" s="109"/>
      <c r="CH275" s="109"/>
      <c r="CI275" s="109"/>
      <c r="CJ275" s="109"/>
      <c r="CK275" s="109"/>
      <c r="CL275" s="109"/>
      <c r="CM275" s="109"/>
      <c r="CN275" s="109"/>
      <c r="CO275" s="109"/>
      <c r="CP275" s="109"/>
      <c r="CQ275" s="109"/>
      <c r="CR275" s="109"/>
      <c r="CS275" s="109"/>
      <c r="CT275" s="109"/>
      <c r="CU275" s="109"/>
      <c r="CV275" s="109"/>
      <c r="CW275" s="109"/>
    </row>
    <row r="276" spans="1:101" s="5" customFormat="1" ht="40.5" customHeight="1">
      <c r="A276" s="140"/>
      <c r="B276" s="277"/>
      <c r="C276" s="76"/>
      <c r="D276" s="76" t="s">
        <v>248</v>
      </c>
      <c r="E276" s="111"/>
      <c r="F276" s="77"/>
      <c r="G276" s="142"/>
      <c r="H276" s="142"/>
      <c r="I276" s="278"/>
      <c r="J276" s="279"/>
      <c r="K276" s="211"/>
      <c r="L276" s="211"/>
      <c r="M276" s="326"/>
      <c r="N276" s="326"/>
      <c r="O276" s="326"/>
      <c r="P276" s="326"/>
      <c r="Q276" s="211"/>
      <c r="R276" s="327"/>
      <c r="S276" s="211"/>
      <c r="T276" s="211"/>
      <c r="U276" s="211"/>
      <c r="V276" s="211"/>
      <c r="W276" s="211"/>
      <c r="X276" s="211"/>
      <c r="Y276" s="211"/>
      <c r="Z276" s="211"/>
      <c r="AA276" s="211"/>
      <c r="AB276" s="211"/>
      <c r="AC276" s="211"/>
      <c r="AD276" s="211"/>
      <c r="AE276" s="211"/>
      <c r="AF276" s="211"/>
      <c r="AG276" s="211"/>
      <c r="AH276" s="211"/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109"/>
      <c r="AT276" s="109"/>
      <c r="AU276" s="109"/>
      <c r="AV276" s="109"/>
      <c r="AW276" s="109"/>
      <c r="AX276" s="109"/>
      <c r="AY276" s="109"/>
      <c r="AZ276" s="109"/>
      <c r="BA276" s="109"/>
      <c r="BB276" s="109"/>
      <c r="BC276" s="109"/>
      <c r="BD276" s="109"/>
      <c r="BE276" s="109"/>
      <c r="BF276" s="109"/>
      <c r="BG276" s="109"/>
      <c r="BH276" s="109"/>
      <c r="BI276" s="109"/>
      <c r="BJ276" s="109"/>
      <c r="BK276" s="109"/>
      <c r="BL276" s="109"/>
      <c r="BM276" s="109"/>
      <c r="BN276" s="109"/>
      <c r="BO276" s="109"/>
      <c r="BP276" s="109"/>
      <c r="BQ276" s="109"/>
      <c r="BR276" s="109"/>
      <c r="BS276" s="109"/>
      <c r="BT276" s="109"/>
      <c r="BU276" s="109"/>
      <c r="BV276" s="109"/>
      <c r="BW276" s="109"/>
      <c r="BX276" s="109"/>
      <c r="BY276" s="109"/>
      <c r="BZ276" s="109"/>
      <c r="CA276" s="109"/>
      <c r="CB276" s="109"/>
      <c r="CC276" s="109"/>
      <c r="CD276" s="109"/>
      <c r="CE276" s="109"/>
      <c r="CF276" s="109"/>
      <c r="CG276" s="109"/>
      <c r="CH276" s="109"/>
      <c r="CI276" s="109"/>
      <c r="CJ276" s="109"/>
      <c r="CK276" s="109"/>
      <c r="CL276" s="109"/>
      <c r="CM276" s="109"/>
      <c r="CN276" s="109"/>
      <c r="CO276" s="109"/>
      <c r="CP276" s="109"/>
      <c r="CQ276" s="109"/>
      <c r="CR276" s="109"/>
      <c r="CS276" s="109"/>
      <c r="CT276" s="109"/>
      <c r="CU276" s="109"/>
      <c r="CV276" s="109"/>
      <c r="CW276" s="109"/>
    </row>
    <row r="277" spans="1:101" s="5" customFormat="1" ht="13.5" customHeight="1">
      <c r="A277" s="112"/>
      <c r="B277" s="113"/>
      <c r="C277" s="114"/>
      <c r="D277" s="76" t="s">
        <v>249</v>
      </c>
      <c r="E277" s="114"/>
      <c r="F277" s="270"/>
      <c r="G277" s="144"/>
      <c r="H277" s="71"/>
      <c r="I277" s="79"/>
      <c r="J277" s="328"/>
      <c r="K277" s="328"/>
      <c r="L277" s="211"/>
      <c r="M277" s="211"/>
      <c r="N277" s="211"/>
      <c r="O277" s="211"/>
      <c r="P277" s="211"/>
      <c r="Q277" s="211"/>
      <c r="R277" s="211"/>
      <c r="S277" s="211"/>
      <c r="T277" s="211"/>
      <c r="U277" s="211"/>
      <c r="V277" s="211"/>
      <c r="W277" s="211"/>
      <c r="X277" s="211"/>
      <c r="Y277" s="211"/>
      <c r="Z277" s="211"/>
      <c r="AA277" s="211"/>
      <c r="AB277" s="211"/>
      <c r="AC277" s="211"/>
      <c r="AD277" s="211"/>
      <c r="AE277" s="211"/>
      <c r="AF277" s="211"/>
      <c r="AG277" s="211"/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109"/>
      <c r="AT277" s="109"/>
      <c r="AU277" s="109"/>
      <c r="AV277" s="109"/>
      <c r="AW277" s="109"/>
      <c r="AX277" s="109"/>
      <c r="AY277" s="109"/>
      <c r="AZ277" s="109"/>
      <c r="BA277" s="109"/>
      <c r="BB277" s="109"/>
      <c r="BC277" s="109"/>
      <c r="BD277" s="109"/>
      <c r="BE277" s="109"/>
      <c r="BF277" s="109"/>
      <c r="BG277" s="109"/>
      <c r="BH277" s="109"/>
      <c r="BI277" s="109"/>
      <c r="BJ277" s="109"/>
      <c r="BK277" s="109"/>
      <c r="BL277" s="109"/>
      <c r="BM277" s="109"/>
      <c r="BN277" s="109"/>
      <c r="BO277" s="109"/>
      <c r="BP277" s="109"/>
      <c r="BQ277" s="109"/>
      <c r="BR277" s="109"/>
      <c r="BS277" s="109"/>
      <c r="BT277" s="109"/>
      <c r="BU277" s="109"/>
      <c r="BV277" s="109"/>
      <c r="BW277" s="109"/>
      <c r="BX277" s="109"/>
      <c r="BY277" s="109"/>
      <c r="BZ277" s="109"/>
      <c r="CA277" s="109"/>
      <c r="CB277" s="109"/>
      <c r="CC277" s="109"/>
      <c r="CD277" s="109"/>
      <c r="CE277" s="109"/>
      <c r="CF277" s="109"/>
      <c r="CG277" s="109"/>
      <c r="CH277" s="109"/>
      <c r="CI277" s="109"/>
      <c r="CJ277" s="109"/>
      <c r="CK277" s="109"/>
      <c r="CL277" s="109"/>
      <c r="CM277" s="109"/>
      <c r="CN277" s="109"/>
      <c r="CO277" s="109"/>
      <c r="CP277" s="109"/>
      <c r="CQ277" s="109"/>
      <c r="CR277" s="109"/>
      <c r="CS277" s="109"/>
      <c r="CT277" s="109"/>
      <c r="CU277" s="109"/>
      <c r="CV277" s="109"/>
      <c r="CW277" s="109"/>
    </row>
    <row r="278" spans="1:101" s="91" customFormat="1" ht="13.5" customHeight="1">
      <c r="A278" s="84"/>
      <c r="B278" s="85"/>
      <c r="C278" s="86"/>
      <c r="D278" s="92" t="s">
        <v>250</v>
      </c>
      <c r="E278" s="87"/>
      <c r="F278" s="94">
        <f>6.01+3.88+1.96</f>
        <v>11.850000000000001</v>
      </c>
      <c r="G278" s="89"/>
      <c r="H278" s="90"/>
      <c r="I278" s="72"/>
      <c r="J278" s="93"/>
    </row>
    <row r="279" spans="1:101" s="91" customFormat="1" ht="13.5" customHeight="1">
      <c r="A279" s="84"/>
      <c r="B279" s="85"/>
      <c r="C279" s="86"/>
      <c r="D279" s="92" t="s">
        <v>251</v>
      </c>
      <c r="E279" s="87"/>
      <c r="F279" s="94">
        <f>3.85+2.86+5.52+16.39+5.8+4.61+2.28+3.71</f>
        <v>45.02</v>
      </c>
      <c r="G279" s="89"/>
      <c r="H279" s="90"/>
      <c r="I279" s="72"/>
      <c r="J279" s="93"/>
    </row>
    <row r="280" spans="1:101" s="91" customFormat="1" ht="27" customHeight="1">
      <c r="A280" s="84"/>
      <c r="B280" s="85"/>
      <c r="C280" s="86"/>
      <c r="D280" s="92" t="s">
        <v>252</v>
      </c>
      <c r="E280" s="87"/>
      <c r="F280" s="94">
        <f>16.4+4.51+1.49+4.62+5.8+3.61+2.72+5.33</f>
        <v>44.47999999999999</v>
      </c>
      <c r="G280" s="89"/>
      <c r="H280" s="90"/>
      <c r="I280" s="72"/>
      <c r="J280" s="93"/>
    </row>
    <row r="281" spans="1:101" s="91" customFormat="1" ht="13.5" customHeight="1">
      <c r="A281" s="84"/>
      <c r="B281" s="85"/>
      <c r="C281" s="86"/>
      <c r="D281" s="92" t="s">
        <v>253</v>
      </c>
      <c r="E281" s="87"/>
      <c r="F281" s="94">
        <f>6.81+5.54+17.38+4.83+6.55+2.08+3.34</f>
        <v>46.529999999999987</v>
      </c>
      <c r="G281" s="89"/>
      <c r="H281" s="90"/>
      <c r="I281" s="72"/>
      <c r="J281" s="93"/>
    </row>
    <row r="282" spans="1:101" s="91" customFormat="1" ht="13.5" customHeight="1">
      <c r="A282" s="84"/>
      <c r="B282" s="85"/>
      <c r="C282" s="86"/>
      <c r="D282" s="92" t="s">
        <v>254</v>
      </c>
      <c r="E282" s="87"/>
      <c r="F282" s="94">
        <f>1.95+3.33+3.22+7.2+2.96</f>
        <v>18.66</v>
      </c>
      <c r="G282" s="89"/>
      <c r="H282" s="90"/>
      <c r="I282" s="72"/>
      <c r="J282" s="93"/>
    </row>
    <row r="283" spans="1:101" s="91" customFormat="1" ht="13.5" customHeight="1">
      <c r="A283" s="84"/>
      <c r="B283" s="85"/>
      <c r="C283" s="86"/>
      <c r="D283" s="92" t="s">
        <v>255</v>
      </c>
      <c r="E283" s="87"/>
      <c r="F283" s="94">
        <f>3.46</f>
        <v>3.46</v>
      </c>
      <c r="G283" s="89"/>
      <c r="H283" s="90"/>
      <c r="I283" s="72"/>
      <c r="J283" s="93"/>
    </row>
    <row r="284" spans="1:101" s="8" customFormat="1" ht="13.5" customHeight="1">
      <c r="A284" s="67">
        <v>52</v>
      </c>
      <c r="B284" s="69">
        <v>771</v>
      </c>
      <c r="C284" s="69" t="s">
        <v>256</v>
      </c>
      <c r="D284" s="69" t="s">
        <v>257</v>
      </c>
      <c r="E284" s="69" t="s">
        <v>30</v>
      </c>
      <c r="F284" s="100">
        <f>F285</f>
        <v>170</v>
      </c>
      <c r="G284" s="71"/>
      <c r="H284" s="71">
        <f>F284*G284</f>
        <v>0</v>
      </c>
      <c r="I284" s="101" t="s">
        <v>39</v>
      </c>
      <c r="J284" s="207"/>
      <c r="K284" s="207"/>
      <c r="L284" s="207"/>
      <c r="M284" s="207"/>
      <c r="N284" s="207"/>
      <c r="O284" s="207"/>
      <c r="P284" s="207"/>
      <c r="Q284" s="207"/>
      <c r="R284" s="207"/>
      <c r="S284" s="207"/>
      <c r="T284" s="207"/>
      <c r="U284" s="207"/>
      <c r="V284" s="207"/>
      <c r="W284" s="207"/>
      <c r="X284" s="207"/>
      <c r="Y284" s="207"/>
      <c r="Z284" s="207"/>
      <c r="AA284" s="207"/>
      <c r="AB284" s="207"/>
      <c r="AC284" s="207"/>
      <c r="AD284" s="207"/>
      <c r="AE284" s="207"/>
      <c r="AF284" s="207"/>
      <c r="AG284" s="207"/>
      <c r="AH284" s="207"/>
      <c r="AI284" s="207"/>
      <c r="AJ284" s="207"/>
      <c r="AK284" s="207"/>
      <c r="AL284" s="207"/>
      <c r="AM284" s="207"/>
      <c r="AN284" s="207"/>
      <c r="AO284" s="207"/>
      <c r="AP284" s="207"/>
      <c r="AQ284" s="207"/>
      <c r="AR284" s="207"/>
      <c r="AS284" s="73"/>
      <c r="AT284" s="73"/>
      <c r="AU284" s="73"/>
      <c r="AV284" s="73"/>
      <c r="AW284" s="73"/>
      <c r="AX284" s="73"/>
      <c r="AY284" s="73"/>
      <c r="AZ284" s="73"/>
      <c r="BA284" s="73"/>
      <c r="BB284" s="73"/>
      <c r="BC284" s="73"/>
      <c r="BD284" s="73"/>
      <c r="BE284" s="73"/>
      <c r="BF284" s="73"/>
      <c r="BG284" s="73"/>
      <c r="BH284" s="73"/>
      <c r="BI284" s="73"/>
      <c r="BJ284" s="73"/>
      <c r="BK284" s="73"/>
      <c r="BL284" s="73"/>
      <c r="BM284" s="73"/>
      <c r="BN284" s="73"/>
      <c r="BO284" s="73"/>
      <c r="BP284" s="73"/>
      <c r="BQ284" s="73"/>
      <c r="BR284" s="73"/>
      <c r="BS284" s="73"/>
      <c r="BT284" s="73"/>
      <c r="BU284" s="73"/>
      <c r="BV284" s="73"/>
      <c r="BW284" s="73"/>
      <c r="BX284" s="73"/>
      <c r="BY284" s="73"/>
      <c r="BZ284" s="73"/>
      <c r="CA284" s="73"/>
      <c r="CB284" s="73"/>
      <c r="CC284" s="73"/>
      <c r="CD284" s="73"/>
      <c r="CE284" s="73"/>
      <c r="CF284" s="73"/>
      <c r="CG284" s="73"/>
      <c r="CH284" s="73"/>
      <c r="CI284" s="73"/>
      <c r="CJ284" s="73"/>
      <c r="CK284" s="73"/>
      <c r="CL284" s="73"/>
      <c r="CM284" s="73"/>
      <c r="CN284" s="73"/>
      <c r="CO284" s="73"/>
      <c r="CP284" s="73"/>
      <c r="CQ284" s="73"/>
      <c r="CR284" s="73"/>
      <c r="CS284" s="73"/>
      <c r="CT284" s="73"/>
      <c r="CU284" s="73"/>
      <c r="CV284" s="73"/>
      <c r="CW284" s="73"/>
    </row>
    <row r="285" spans="1:101" s="252" customFormat="1" ht="13.5" customHeight="1">
      <c r="A285" s="67"/>
      <c r="B285" s="68"/>
      <c r="C285" s="69"/>
      <c r="D285" s="76" t="s">
        <v>258</v>
      </c>
      <c r="E285" s="69"/>
      <c r="F285" s="77">
        <f>F270</f>
        <v>170</v>
      </c>
      <c r="G285" s="71"/>
      <c r="H285" s="71"/>
      <c r="I285" s="101"/>
      <c r="J285" s="299"/>
      <c r="K285" s="299"/>
      <c r="L285" s="299"/>
      <c r="M285" s="299"/>
      <c r="N285" s="299"/>
      <c r="O285" s="299"/>
      <c r="P285" s="299"/>
      <c r="Q285" s="299"/>
      <c r="R285" s="299"/>
      <c r="S285" s="299"/>
      <c r="T285" s="299"/>
      <c r="U285" s="299"/>
      <c r="V285" s="299"/>
      <c r="W285" s="299"/>
      <c r="X285" s="299"/>
      <c r="Y285" s="299"/>
      <c r="Z285" s="299"/>
      <c r="AA285" s="299"/>
      <c r="AB285" s="299"/>
      <c r="AC285" s="299"/>
      <c r="AD285" s="299"/>
      <c r="AE285" s="299"/>
      <c r="AF285" s="299"/>
      <c r="AG285" s="299"/>
      <c r="AH285" s="299"/>
      <c r="AI285" s="299"/>
      <c r="AJ285" s="299"/>
      <c r="AK285" s="299"/>
      <c r="AL285" s="299"/>
      <c r="AM285" s="299"/>
      <c r="AN285" s="299"/>
      <c r="AO285" s="299"/>
      <c r="AP285" s="299"/>
      <c r="AQ285" s="299"/>
      <c r="AR285" s="299"/>
    </row>
    <row r="286" spans="1:101" s="5" customFormat="1" ht="13.5" customHeight="1">
      <c r="A286" s="67">
        <v>53</v>
      </c>
      <c r="B286" s="69">
        <v>771</v>
      </c>
      <c r="C286" s="69">
        <v>771121011</v>
      </c>
      <c r="D286" s="69" t="s">
        <v>259</v>
      </c>
      <c r="E286" s="69" t="s">
        <v>30</v>
      </c>
      <c r="F286" s="100">
        <f>F295</f>
        <v>170</v>
      </c>
      <c r="G286" s="71"/>
      <c r="H286" s="71">
        <f>F286*G286</f>
        <v>0</v>
      </c>
      <c r="I286" s="101" t="s">
        <v>31</v>
      </c>
      <c r="J286" s="329"/>
      <c r="K286" s="310"/>
      <c r="L286" s="298"/>
      <c r="M286" s="299"/>
      <c r="N286" s="300"/>
      <c r="O286" s="311"/>
      <c r="P286" s="207"/>
      <c r="Q286" s="207"/>
      <c r="R286" s="302"/>
      <c r="S286" s="211"/>
      <c r="T286" s="211"/>
      <c r="U286" s="211"/>
      <c r="V286" s="211"/>
      <c r="W286" s="211"/>
      <c r="X286" s="211"/>
      <c r="Y286" s="211"/>
      <c r="Z286" s="211"/>
      <c r="AA286" s="211"/>
      <c r="AB286" s="211"/>
      <c r="AC286" s="211"/>
      <c r="AD286" s="211"/>
      <c r="AE286" s="211"/>
      <c r="AF286" s="211"/>
      <c r="AG286" s="211"/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109"/>
      <c r="AT286" s="109"/>
      <c r="AU286" s="109"/>
      <c r="AV286" s="109"/>
      <c r="AW286" s="109"/>
      <c r="AX286" s="109"/>
      <c r="AY286" s="109"/>
      <c r="AZ286" s="109"/>
      <c r="BA286" s="109"/>
      <c r="BB286" s="109"/>
      <c r="BC286" s="109"/>
      <c r="BD286" s="109"/>
      <c r="BE286" s="109"/>
      <c r="BF286" s="109"/>
      <c r="BG286" s="109"/>
      <c r="BH286" s="109"/>
      <c r="BI286" s="109"/>
      <c r="BJ286" s="109"/>
      <c r="BK286" s="109"/>
      <c r="BL286" s="109"/>
      <c r="BM286" s="109"/>
      <c r="BN286" s="109"/>
      <c r="BO286" s="109"/>
      <c r="BP286" s="109"/>
      <c r="BQ286" s="109"/>
      <c r="BR286" s="109"/>
      <c r="BS286" s="109"/>
      <c r="BT286" s="109"/>
      <c r="BU286" s="109"/>
      <c r="BV286" s="109"/>
      <c r="BW286" s="109"/>
      <c r="BX286" s="109"/>
      <c r="BY286" s="109"/>
      <c r="BZ286" s="109"/>
      <c r="CA286" s="109"/>
      <c r="CB286" s="109"/>
      <c r="CC286" s="109"/>
      <c r="CD286" s="109"/>
      <c r="CE286" s="109"/>
      <c r="CF286" s="109"/>
      <c r="CG286" s="109"/>
      <c r="CH286" s="109"/>
      <c r="CI286" s="109"/>
      <c r="CJ286" s="109"/>
      <c r="CK286" s="109"/>
      <c r="CL286" s="109"/>
      <c r="CM286" s="109"/>
      <c r="CN286" s="109"/>
      <c r="CO286" s="109"/>
      <c r="CP286" s="109"/>
      <c r="CQ286" s="109"/>
      <c r="CR286" s="109"/>
      <c r="CS286" s="109"/>
      <c r="CT286" s="109"/>
      <c r="CU286" s="109"/>
      <c r="CV286" s="109"/>
      <c r="CW286" s="109"/>
    </row>
    <row r="287" spans="1:101" s="5" customFormat="1" ht="13.5" customHeight="1">
      <c r="A287" s="67">
        <v>54</v>
      </c>
      <c r="B287" s="69">
        <v>771</v>
      </c>
      <c r="C287" s="69">
        <v>771577151</v>
      </c>
      <c r="D287" s="69" t="s">
        <v>260</v>
      </c>
      <c r="E287" s="69" t="s">
        <v>30</v>
      </c>
      <c r="F287" s="100">
        <f>SUM(F289:F294)</f>
        <v>65.27</v>
      </c>
      <c r="G287" s="71"/>
      <c r="H287" s="71">
        <f>F287*G287</f>
        <v>0</v>
      </c>
      <c r="I287" s="101" t="s">
        <v>31</v>
      </c>
      <c r="J287" s="329"/>
      <c r="K287" s="310"/>
      <c r="L287" s="298"/>
      <c r="M287" s="299"/>
      <c r="N287" s="300"/>
      <c r="O287" s="311"/>
      <c r="P287" s="207"/>
      <c r="Q287" s="207"/>
      <c r="R287" s="302"/>
      <c r="S287" s="211"/>
      <c r="T287" s="211"/>
      <c r="U287" s="211"/>
      <c r="V287" s="211"/>
      <c r="W287" s="211"/>
      <c r="X287" s="211"/>
      <c r="Y287" s="211"/>
      <c r="Z287" s="211"/>
      <c r="AA287" s="211"/>
      <c r="AB287" s="211"/>
      <c r="AC287" s="211"/>
      <c r="AD287" s="211"/>
      <c r="AE287" s="211"/>
      <c r="AF287" s="211"/>
      <c r="AG287" s="211"/>
      <c r="AH287" s="211"/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109"/>
      <c r="AT287" s="109"/>
      <c r="AU287" s="109"/>
      <c r="AV287" s="109"/>
      <c r="AW287" s="109"/>
      <c r="AX287" s="109"/>
      <c r="AY287" s="109"/>
      <c r="AZ287" s="109"/>
      <c r="BA287" s="109"/>
      <c r="BB287" s="109"/>
      <c r="BC287" s="109"/>
      <c r="BD287" s="109"/>
      <c r="BE287" s="109"/>
      <c r="BF287" s="109"/>
      <c r="BG287" s="109"/>
      <c r="BH287" s="109"/>
      <c r="BI287" s="109"/>
      <c r="BJ287" s="109"/>
      <c r="BK287" s="109"/>
      <c r="BL287" s="109"/>
      <c r="BM287" s="109"/>
      <c r="BN287" s="109"/>
      <c r="BO287" s="109"/>
      <c r="BP287" s="109"/>
      <c r="BQ287" s="109"/>
      <c r="BR287" s="109"/>
      <c r="BS287" s="109"/>
      <c r="BT287" s="109"/>
      <c r="BU287" s="109"/>
      <c r="BV287" s="109"/>
      <c r="BW287" s="109"/>
      <c r="BX287" s="109"/>
      <c r="BY287" s="109"/>
      <c r="BZ287" s="109"/>
      <c r="CA287" s="109"/>
      <c r="CB287" s="109"/>
      <c r="CC287" s="109"/>
      <c r="CD287" s="109"/>
      <c r="CE287" s="109"/>
      <c r="CF287" s="109"/>
      <c r="CG287" s="109"/>
      <c r="CH287" s="109"/>
      <c r="CI287" s="109"/>
      <c r="CJ287" s="109"/>
      <c r="CK287" s="109"/>
      <c r="CL287" s="109"/>
      <c r="CM287" s="109"/>
      <c r="CN287" s="109"/>
      <c r="CO287" s="109"/>
      <c r="CP287" s="109"/>
      <c r="CQ287" s="109"/>
      <c r="CR287" s="109"/>
      <c r="CS287" s="109"/>
      <c r="CT287" s="109"/>
      <c r="CU287" s="109"/>
      <c r="CV287" s="109"/>
      <c r="CW287" s="109"/>
    </row>
    <row r="288" spans="1:101" s="5" customFormat="1" ht="13.5" customHeight="1">
      <c r="A288" s="67"/>
      <c r="B288" s="69"/>
      <c r="C288" s="69"/>
      <c r="D288" s="76" t="s">
        <v>261</v>
      </c>
      <c r="E288" s="69"/>
      <c r="F288" s="109"/>
      <c r="G288" s="71"/>
      <c r="H288" s="71"/>
      <c r="I288" s="101"/>
      <c r="J288" s="211"/>
      <c r="K288" s="211"/>
      <c r="L288" s="211"/>
      <c r="M288" s="211"/>
      <c r="N288" s="211"/>
      <c r="O288" s="311"/>
      <c r="P288" s="211"/>
      <c r="Q288" s="211"/>
      <c r="R288" s="211"/>
      <c r="S288" s="211"/>
      <c r="T288" s="211"/>
      <c r="U288" s="211"/>
      <c r="V288" s="211"/>
      <c r="W288" s="211"/>
      <c r="X288" s="211"/>
      <c r="Y288" s="211"/>
      <c r="Z288" s="211"/>
      <c r="AA288" s="211"/>
      <c r="AB288" s="211"/>
      <c r="AC288" s="211"/>
      <c r="AD288" s="211"/>
      <c r="AE288" s="211"/>
      <c r="AF288" s="211"/>
      <c r="AG288" s="211"/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109"/>
      <c r="AT288" s="109"/>
      <c r="AU288" s="109"/>
      <c r="AV288" s="109"/>
      <c r="AW288" s="109"/>
      <c r="AX288" s="109"/>
      <c r="AY288" s="109"/>
      <c r="AZ288" s="109"/>
      <c r="BA288" s="109"/>
      <c r="BB288" s="109"/>
      <c r="BC288" s="109"/>
      <c r="BD288" s="109"/>
      <c r="BE288" s="109"/>
      <c r="BF288" s="109"/>
      <c r="BG288" s="109"/>
      <c r="BH288" s="109"/>
      <c r="BI288" s="109"/>
      <c r="BJ288" s="109"/>
      <c r="BK288" s="109"/>
      <c r="BL288" s="109"/>
      <c r="BM288" s="109"/>
      <c r="BN288" s="109"/>
      <c r="BO288" s="109"/>
      <c r="BP288" s="109"/>
      <c r="BQ288" s="109"/>
      <c r="BR288" s="109"/>
      <c r="BS288" s="109"/>
      <c r="BT288" s="109"/>
      <c r="BU288" s="109"/>
      <c r="BV288" s="109"/>
      <c r="BW288" s="109"/>
      <c r="BX288" s="109"/>
      <c r="BY288" s="109"/>
      <c r="BZ288" s="109"/>
      <c r="CA288" s="109"/>
      <c r="CB288" s="109"/>
      <c r="CC288" s="109"/>
      <c r="CD288" s="109"/>
      <c r="CE288" s="109"/>
      <c r="CF288" s="109"/>
      <c r="CG288" s="109"/>
      <c r="CH288" s="109"/>
      <c r="CI288" s="109"/>
      <c r="CJ288" s="109"/>
      <c r="CK288" s="109"/>
      <c r="CL288" s="109"/>
      <c r="CM288" s="109"/>
      <c r="CN288" s="109"/>
      <c r="CO288" s="109"/>
      <c r="CP288" s="109"/>
      <c r="CQ288" s="109"/>
      <c r="CR288" s="109"/>
      <c r="CS288" s="109"/>
      <c r="CT288" s="109"/>
      <c r="CU288" s="109"/>
      <c r="CV288" s="109"/>
      <c r="CW288" s="109"/>
    </row>
    <row r="289" spans="1:101" s="5" customFormat="1" ht="13.5" customHeight="1">
      <c r="A289" s="67"/>
      <c r="B289" s="69"/>
      <c r="C289" s="69"/>
      <c r="D289" s="76" t="s">
        <v>262</v>
      </c>
      <c r="E289" s="69"/>
      <c r="F289" s="77">
        <f>3.88+1.96</f>
        <v>5.84</v>
      </c>
      <c r="G289" s="71"/>
      <c r="H289" s="71"/>
      <c r="I289" s="101"/>
      <c r="J289" s="211"/>
      <c r="K289" s="211"/>
      <c r="L289" s="211"/>
      <c r="M289" s="211"/>
      <c r="N289" s="211"/>
      <c r="O289" s="311"/>
      <c r="P289" s="211"/>
      <c r="Q289" s="211"/>
      <c r="R289" s="211"/>
      <c r="S289" s="211"/>
      <c r="T289" s="211"/>
      <c r="U289" s="211"/>
      <c r="V289" s="211"/>
      <c r="W289" s="211"/>
      <c r="X289" s="211"/>
      <c r="Y289" s="211"/>
      <c r="Z289" s="211"/>
      <c r="AA289" s="211"/>
      <c r="AB289" s="211"/>
      <c r="AC289" s="211"/>
      <c r="AD289" s="211"/>
      <c r="AE289" s="211"/>
      <c r="AF289" s="211"/>
      <c r="AG289" s="211"/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109"/>
      <c r="AT289" s="109"/>
      <c r="AU289" s="109"/>
      <c r="AV289" s="109"/>
      <c r="AW289" s="109"/>
      <c r="AX289" s="109"/>
      <c r="AY289" s="109"/>
      <c r="AZ289" s="109"/>
      <c r="BA289" s="109"/>
      <c r="BB289" s="109"/>
      <c r="BC289" s="109"/>
      <c r="BD289" s="109"/>
      <c r="BE289" s="109"/>
      <c r="BF289" s="109"/>
      <c r="BG289" s="109"/>
      <c r="BH289" s="109"/>
      <c r="BI289" s="109"/>
      <c r="BJ289" s="109"/>
      <c r="BK289" s="109"/>
      <c r="BL289" s="109"/>
      <c r="BM289" s="109"/>
      <c r="BN289" s="109"/>
      <c r="BO289" s="109"/>
      <c r="BP289" s="109"/>
      <c r="BQ289" s="109"/>
      <c r="BR289" s="109"/>
      <c r="BS289" s="109"/>
      <c r="BT289" s="109"/>
      <c r="BU289" s="109"/>
      <c r="BV289" s="109"/>
      <c r="BW289" s="109"/>
      <c r="BX289" s="109"/>
      <c r="BY289" s="109"/>
      <c r="BZ289" s="109"/>
      <c r="CA289" s="109"/>
      <c r="CB289" s="109"/>
      <c r="CC289" s="109"/>
      <c r="CD289" s="109"/>
      <c r="CE289" s="109"/>
      <c r="CF289" s="109"/>
      <c r="CG289" s="109"/>
      <c r="CH289" s="109"/>
      <c r="CI289" s="109"/>
      <c r="CJ289" s="109"/>
      <c r="CK289" s="109"/>
      <c r="CL289" s="109"/>
      <c r="CM289" s="109"/>
      <c r="CN289" s="109"/>
      <c r="CO289" s="109"/>
      <c r="CP289" s="109"/>
      <c r="CQ289" s="109"/>
      <c r="CR289" s="109"/>
      <c r="CS289" s="109"/>
      <c r="CT289" s="109"/>
      <c r="CU289" s="109"/>
      <c r="CV289" s="109"/>
      <c r="CW289" s="109"/>
    </row>
    <row r="290" spans="1:101" s="5" customFormat="1" ht="13.5" customHeight="1">
      <c r="A290" s="67"/>
      <c r="B290" s="69"/>
      <c r="C290" s="69"/>
      <c r="D290" s="76" t="s">
        <v>263</v>
      </c>
      <c r="E290" s="69"/>
      <c r="F290" s="77">
        <f>3.85+2.86+4.61+2.28+3.71</f>
        <v>17.309999999999999</v>
      </c>
      <c r="G290" s="71"/>
      <c r="H290" s="71"/>
      <c r="I290" s="101"/>
      <c r="J290" s="211"/>
      <c r="K290" s="211"/>
      <c r="L290" s="211"/>
      <c r="M290" s="211"/>
      <c r="N290" s="211"/>
      <c r="O290" s="311"/>
      <c r="P290" s="211"/>
      <c r="Q290" s="211"/>
      <c r="R290" s="211"/>
      <c r="S290" s="211"/>
      <c r="T290" s="211"/>
      <c r="U290" s="211"/>
      <c r="V290" s="211"/>
      <c r="W290" s="211"/>
      <c r="X290" s="211"/>
      <c r="Y290" s="211"/>
      <c r="Z290" s="211"/>
      <c r="AA290" s="211"/>
      <c r="AB290" s="211"/>
      <c r="AC290" s="211"/>
      <c r="AD290" s="211"/>
      <c r="AE290" s="211"/>
      <c r="AF290" s="211"/>
      <c r="AG290" s="211"/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109"/>
      <c r="AT290" s="109"/>
      <c r="AU290" s="109"/>
      <c r="AV290" s="109"/>
      <c r="AW290" s="109"/>
      <c r="AX290" s="109"/>
      <c r="AY290" s="109"/>
      <c r="AZ290" s="109"/>
      <c r="BA290" s="109"/>
      <c r="BB290" s="109"/>
      <c r="BC290" s="109"/>
      <c r="BD290" s="109"/>
      <c r="BE290" s="109"/>
      <c r="BF290" s="109"/>
      <c r="BG290" s="109"/>
      <c r="BH290" s="109"/>
      <c r="BI290" s="109"/>
      <c r="BJ290" s="109"/>
      <c r="BK290" s="109"/>
      <c r="BL290" s="109"/>
      <c r="BM290" s="109"/>
      <c r="BN290" s="109"/>
      <c r="BO290" s="109"/>
      <c r="BP290" s="109"/>
      <c r="BQ290" s="109"/>
      <c r="BR290" s="109"/>
      <c r="BS290" s="109"/>
      <c r="BT290" s="109"/>
      <c r="BU290" s="109"/>
      <c r="BV290" s="109"/>
      <c r="BW290" s="109"/>
      <c r="BX290" s="109"/>
      <c r="BY290" s="109"/>
      <c r="BZ290" s="109"/>
      <c r="CA290" s="109"/>
      <c r="CB290" s="109"/>
      <c r="CC290" s="109"/>
      <c r="CD290" s="109"/>
      <c r="CE290" s="109"/>
      <c r="CF290" s="109"/>
      <c r="CG290" s="109"/>
      <c r="CH290" s="109"/>
      <c r="CI290" s="109"/>
      <c r="CJ290" s="109"/>
      <c r="CK290" s="109"/>
      <c r="CL290" s="109"/>
      <c r="CM290" s="109"/>
      <c r="CN290" s="109"/>
      <c r="CO290" s="109"/>
      <c r="CP290" s="109"/>
      <c r="CQ290" s="109"/>
      <c r="CR290" s="109"/>
      <c r="CS290" s="109"/>
      <c r="CT290" s="109"/>
      <c r="CU290" s="109"/>
      <c r="CV290" s="109"/>
      <c r="CW290" s="109"/>
    </row>
    <row r="291" spans="1:101" s="5" customFormat="1" ht="13.5" customHeight="1">
      <c r="A291" s="67"/>
      <c r="B291" s="69"/>
      <c r="C291" s="69"/>
      <c r="D291" s="76" t="s">
        <v>264</v>
      </c>
      <c r="E291" s="69"/>
      <c r="F291" s="77">
        <f>4.51+1.49+4.62+3.61+2.72</f>
        <v>16.95</v>
      </c>
      <c r="G291" s="71"/>
      <c r="H291" s="71"/>
      <c r="I291" s="101"/>
      <c r="J291" s="211"/>
      <c r="K291" s="211"/>
      <c r="L291" s="211"/>
      <c r="M291" s="211"/>
      <c r="N291" s="211"/>
      <c r="O291" s="311"/>
      <c r="P291" s="211"/>
      <c r="Q291" s="211"/>
      <c r="R291" s="211"/>
      <c r="S291" s="211"/>
      <c r="T291" s="211"/>
      <c r="U291" s="211"/>
      <c r="V291" s="211"/>
      <c r="W291" s="211"/>
      <c r="X291" s="211"/>
      <c r="Y291" s="211"/>
      <c r="Z291" s="211"/>
      <c r="AA291" s="211"/>
      <c r="AB291" s="211"/>
      <c r="AC291" s="211"/>
      <c r="AD291" s="211"/>
      <c r="AE291" s="211"/>
      <c r="AF291" s="211"/>
      <c r="AG291" s="211"/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109"/>
      <c r="AT291" s="109"/>
      <c r="AU291" s="109"/>
      <c r="AV291" s="109"/>
      <c r="AW291" s="109"/>
      <c r="AX291" s="109"/>
      <c r="AY291" s="109"/>
      <c r="AZ291" s="109"/>
      <c r="BA291" s="109"/>
      <c r="BB291" s="109"/>
      <c r="BC291" s="109"/>
      <c r="BD291" s="109"/>
      <c r="BE291" s="109"/>
      <c r="BF291" s="109"/>
      <c r="BG291" s="109"/>
      <c r="BH291" s="109"/>
      <c r="BI291" s="109"/>
      <c r="BJ291" s="109"/>
      <c r="BK291" s="109"/>
      <c r="BL291" s="109"/>
      <c r="BM291" s="109"/>
      <c r="BN291" s="109"/>
      <c r="BO291" s="109"/>
      <c r="BP291" s="109"/>
      <c r="BQ291" s="109"/>
      <c r="BR291" s="109"/>
      <c r="BS291" s="109"/>
      <c r="BT291" s="109"/>
      <c r="BU291" s="109"/>
      <c r="BV291" s="109"/>
      <c r="BW291" s="109"/>
      <c r="BX291" s="109"/>
      <c r="BY291" s="109"/>
      <c r="BZ291" s="109"/>
      <c r="CA291" s="109"/>
      <c r="CB291" s="109"/>
      <c r="CC291" s="109"/>
      <c r="CD291" s="109"/>
      <c r="CE291" s="109"/>
      <c r="CF291" s="109"/>
      <c r="CG291" s="109"/>
      <c r="CH291" s="109"/>
      <c r="CI291" s="109"/>
      <c r="CJ291" s="109"/>
      <c r="CK291" s="109"/>
      <c r="CL291" s="109"/>
      <c r="CM291" s="109"/>
      <c r="CN291" s="109"/>
      <c r="CO291" s="109"/>
      <c r="CP291" s="109"/>
      <c r="CQ291" s="109"/>
      <c r="CR291" s="109"/>
      <c r="CS291" s="109"/>
      <c r="CT291" s="109"/>
      <c r="CU291" s="109"/>
      <c r="CV291" s="109"/>
      <c r="CW291" s="109"/>
    </row>
    <row r="292" spans="1:101" s="5" customFormat="1" ht="13.5" customHeight="1">
      <c r="A292" s="67"/>
      <c r="B292" s="69"/>
      <c r="C292" s="69"/>
      <c r="D292" s="76" t="s">
        <v>265</v>
      </c>
      <c r="E292" s="69"/>
      <c r="F292" s="77">
        <f>4.83+2.08+3.34</f>
        <v>10.25</v>
      </c>
      <c r="G292" s="71"/>
      <c r="H292" s="71"/>
      <c r="I292" s="101"/>
      <c r="J292" s="211"/>
      <c r="K292" s="211"/>
      <c r="L292" s="211"/>
      <c r="M292" s="211"/>
      <c r="N292" s="211"/>
      <c r="O292" s="311"/>
      <c r="P292" s="211"/>
      <c r="Q292" s="211"/>
      <c r="R292" s="211"/>
      <c r="S292" s="211"/>
      <c r="T292" s="211"/>
      <c r="U292" s="211"/>
      <c r="V292" s="211"/>
      <c r="W292" s="211"/>
      <c r="X292" s="211"/>
      <c r="Y292" s="211"/>
      <c r="Z292" s="211"/>
      <c r="AA292" s="211"/>
      <c r="AB292" s="211"/>
      <c r="AC292" s="211"/>
      <c r="AD292" s="211"/>
      <c r="AE292" s="211"/>
      <c r="AF292" s="211"/>
      <c r="AG292" s="211"/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109"/>
      <c r="AT292" s="109"/>
      <c r="AU292" s="109"/>
      <c r="AV292" s="109"/>
      <c r="AW292" s="109"/>
      <c r="AX292" s="109"/>
      <c r="AY292" s="109"/>
      <c r="AZ292" s="109"/>
      <c r="BA292" s="109"/>
      <c r="BB292" s="109"/>
      <c r="BC292" s="109"/>
      <c r="BD292" s="109"/>
      <c r="BE292" s="109"/>
      <c r="BF292" s="109"/>
      <c r="BG292" s="109"/>
      <c r="BH292" s="109"/>
      <c r="BI292" s="109"/>
      <c r="BJ292" s="109"/>
      <c r="BK292" s="109"/>
      <c r="BL292" s="109"/>
      <c r="BM292" s="109"/>
      <c r="BN292" s="109"/>
      <c r="BO292" s="109"/>
      <c r="BP292" s="109"/>
      <c r="BQ292" s="109"/>
      <c r="BR292" s="109"/>
      <c r="BS292" s="109"/>
      <c r="BT292" s="109"/>
      <c r="BU292" s="109"/>
      <c r="BV292" s="109"/>
      <c r="BW292" s="109"/>
      <c r="BX292" s="109"/>
      <c r="BY292" s="109"/>
      <c r="BZ292" s="109"/>
      <c r="CA292" s="109"/>
      <c r="CB292" s="109"/>
      <c r="CC292" s="109"/>
      <c r="CD292" s="109"/>
      <c r="CE292" s="109"/>
      <c r="CF292" s="109"/>
      <c r="CG292" s="109"/>
      <c r="CH292" s="109"/>
      <c r="CI292" s="109"/>
      <c r="CJ292" s="109"/>
      <c r="CK292" s="109"/>
      <c r="CL292" s="109"/>
      <c r="CM292" s="109"/>
      <c r="CN292" s="109"/>
      <c r="CO292" s="109"/>
      <c r="CP292" s="109"/>
      <c r="CQ292" s="109"/>
      <c r="CR292" s="109"/>
      <c r="CS292" s="109"/>
      <c r="CT292" s="109"/>
      <c r="CU292" s="109"/>
      <c r="CV292" s="109"/>
      <c r="CW292" s="109"/>
    </row>
    <row r="293" spans="1:101" s="5" customFormat="1" ht="13.5" customHeight="1">
      <c r="A293" s="67"/>
      <c r="B293" s="69"/>
      <c r="C293" s="69"/>
      <c r="D293" s="76" t="s">
        <v>266</v>
      </c>
      <c r="E293" s="69"/>
      <c r="F293" s="77">
        <f>1.95+3.33+3.22+2.96</f>
        <v>11.46</v>
      </c>
      <c r="G293" s="71"/>
      <c r="H293" s="71"/>
      <c r="I293" s="101"/>
      <c r="J293" s="211"/>
      <c r="K293" s="211"/>
      <c r="L293" s="211"/>
      <c r="M293" s="211"/>
      <c r="N293" s="211"/>
      <c r="O293" s="311"/>
      <c r="P293" s="211"/>
      <c r="Q293" s="211"/>
      <c r="R293" s="211"/>
      <c r="S293" s="211"/>
      <c r="T293" s="211"/>
      <c r="U293" s="211"/>
      <c r="V293" s="211"/>
      <c r="W293" s="211"/>
      <c r="X293" s="211"/>
      <c r="Y293" s="211"/>
      <c r="Z293" s="211"/>
      <c r="AA293" s="211"/>
      <c r="AB293" s="211"/>
      <c r="AC293" s="211"/>
      <c r="AD293" s="211"/>
      <c r="AE293" s="211"/>
      <c r="AF293" s="211"/>
      <c r="AG293" s="211"/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109"/>
      <c r="AT293" s="109"/>
      <c r="AU293" s="109"/>
      <c r="AV293" s="109"/>
      <c r="AW293" s="109"/>
      <c r="AX293" s="109"/>
      <c r="AY293" s="109"/>
      <c r="AZ293" s="109"/>
      <c r="BA293" s="109"/>
      <c r="BB293" s="109"/>
      <c r="BC293" s="109"/>
      <c r="BD293" s="109"/>
      <c r="BE293" s="109"/>
      <c r="BF293" s="109"/>
      <c r="BG293" s="109"/>
      <c r="BH293" s="109"/>
      <c r="BI293" s="109"/>
      <c r="BJ293" s="109"/>
      <c r="BK293" s="109"/>
      <c r="BL293" s="109"/>
      <c r="BM293" s="109"/>
      <c r="BN293" s="109"/>
      <c r="BO293" s="109"/>
      <c r="BP293" s="109"/>
      <c r="BQ293" s="109"/>
      <c r="BR293" s="109"/>
      <c r="BS293" s="109"/>
      <c r="BT293" s="109"/>
      <c r="BU293" s="109"/>
      <c r="BV293" s="109"/>
      <c r="BW293" s="109"/>
      <c r="BX293" s="109"/>
      <c r="BY293" s="109"/>
      <c r="BZ293" s="109"/>
      <c r="CA293" s="109"/>
      <c r="CB293" s="109"/>
      <c r="CC293" s="109"/>
      <c r="CD293" s="109"/>
      <c r="CE293" s="109"/>
      <c r="CF293" s="109"/>
      <c r="CG293" s="109"/>
      <c r="CH293" s="109"/>
      <c r="CI293" s="109"/>
      <c r="CJ293" s="109"/>
      <c r="CK293" s="109"/>
      <c r="CL293" s="109"/>
      <c r="CM293" s="109"/>
      <c r="CN293" s="109"/>
      <c r="CO293" s="109"/>
      <c r="CP293" s="109"/>
      <c r="CQ293" s="109"/>
      <c r="CR293" s="109"/>
      <c r="CS293" s="109"/>
      <c r="CT293" s="109"/>
      <c r="CU293" s="109"/>
      <c r="CV293" s="109"/>
      <c r="CW293" s="109"/>
    </row>
    <row r="294" spans="1:101" s="5" customFormat="1" ht="13.5" customHeight="1">
      <c r="A294" s="67"/>
      <c r="B294" s="69"/>
      <c r="C294" s="69"/>
      <c r="D294" s="76" t="s">
        <v>267</v>
      </c>
      <c r="E294" s="69"/>
      <c r="F294" s="77">
        <f>3.46</f>
        <v>3.46</v>
      </c>
      <c r="G294" s="71"/>
      <c r="H294" s="71"/>
      <c r="I294" s="101"/>
      <c r="J294" s="211"/>
      <c r="K294" s="211"/>
      <c r="L294" s="211"/>
      <c r="M294" s="211"/>
      <c r="N294" s="211"/>
      <c r="O294" s="311"/>
      <c r="P294" s="211"/>
      <c r="Q294" s="211"/>
      <c r="R294" s="211"/>
      <c r="S294" s="211"/>
      <c r="T294" s="211"/>
      <c r="U294" s="211"/>
      <c r="V294" s="211"/>
      <c r="W294" s="211"/>
      <c r="X294" s="211"/>
      <c r="Y294" s="211"/>
      <c r="Z294" s="211"/>
      <c r="AA294" s="211"/>
      <c r="AB294" s="211"/>
      <c r="AC294" s="211"/>
      <c r="AD294" s="211"/>
      <c r="AE294" s="211"/>
      <c r="AF294" s="211"/>
      <c r="AG294" s="211"/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109"/>
      <c r="AT294" s="109"/>
      <c r="AU294" s="109"/>
      <c r="AV294" s="109"/>
      <c r="AW294" s="109"/>
      <c r="AX294" s="109"/>
      <c r="AY294" s="109"/>
      <c r="AZ294" s="109"/>
      <c r="BA294" s="109"/>
      <c r="BB294" s="109"/>
      <c r="BC294" s="109"/>
      <c r="BD294" s="109"/>
      <c r="BE294" s="109"/>
      <c r="BF294" s="109"/>
      <c r="BG294" s="109"/>
      <c r="BH294" s="109"/>
      <c r="BI294" s="109"/>
      <c r="BJ294" s="109"/>
      <c r="BK294" s="109"/>
      <c r="BL294" s="109"/>
      <c r="BM294" s="109"/>
      <c r="BN294" s="109"/>
      <c r="BO294" s="109"/>
      <c r="BP294" s="109"/>
      <c r="BQ294" s="109"/>
      <c r="BR294" s="109"/>
      <c r="BS294" s="109"/>
      <c r="BT294" s="109"/>
      <c r="BU294" s="109"/>
      <c r="BV294" s="109"/>
      <c r="BW294" s="109"/>
      <c r="BX294" s="109"/>
      <c r="BY294" s="109"/>
      <c r="BZ294" s="109"/>
      <c r="CA294" s="109"/>
      <c r="CB294" s="109"/>
      <c r="CC294" s="109"/>
      <c r="CD294" s="109"/>
      <c r="CE294" s="109"/>
      <c r="CF294" s="109"/>
      <c r="CG294" s="109"/>
      <c r="CH294" s="109"/>
      <c r="CI294" s="109"/>
      <c r="CJ294" s="109"/>
      <c r="CK294" s="109"/>
      <c r="CL294" s="109"/>
      <c r="CM294" s="109"/>
      <c r="CN294" s="109"/>
      <c r="CO294" s="109"/>
      <c r="CP294" s="109"/>
      <c r="CQ294" s="109"/>
      <c r="CR294" s="109"/>
      <c r="CS294" s="109"/>
      <c r="CT294" s="109"/>
      <c r="CU294" s="109"/>
      <c r="CV294" s="109"/>
      <c r="CW294" s="109"/>
    </row>
    <row r="295" spans="1:101" s="5" customFormat="1" ht="13.5" customHeight="1">
      <c r="A295" s="67">
        <v>55</v>
      </c>
      <c r="B295" s="69">
        <v>771</v>
      </c>
      <c r="C295" s="69">
        <v>771577154</v>
      </c>
      <c r="D295" s="69" t="s">
        <v>268</v>
      </c>
      <c r="E295" s="69" t="s">
        <v>30</v>
      </c>
      <c r="F295" s="100">
        <f>F270</f>
        <v>170</v>
      </c>
      <c r="G295" s="71"/>
      <c r="H295" s="71">
        <f>F295*G295</f>
        <v>0</v>
      </c>
      <c r="I295" s="101" t="s">
        <v>31</v>
      </c>
      <c r="J295" s="329"/>
      <c r="K295" s="310"/>
      <c r="L295" s="298"/>
      <c r="M295" s="299"/>
      <c r="N295" s="300"/>
      <c r="O295" s="311"/>
      <c r="P295" s="207"/>
      <c r="Q295" s="207"/>
      <c r="R295" s="302"/>
      <c r="S295" s="211"/>
      <c r="T295" s="211"/>
      <c r="U295" s="211"/>
      <c r="V295" s="211"/>
      <c r="W295" s="211"/>
      <c r="X295" s="211"/>
      <c r="Y295" s="211"/>
      <c r="Z295" s="211"/>
      <c r="AA295" s="211"/>
      <c r="AB295" s="211"/>
      <c r="AC295" s="211"/>
      <c r="AD295" s="211"/>
      <c r="AE295" s="211"/>
      <c r="AF295" s="211"/>
      <c r="AG295" s="211"/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109"/>
      <c r="AT295" s="109"/>
      <c r="AU295" s="109"/>
      <c r="AV295" s="109"/>
      <c r="AW295" s="109"/>
      <c r="AX295" s="109"/>
      <c r="AY295" s="109"/>
      <c r="AZ295" s="109"/>
      <c r="BA295" s="109"/>
      <c r="BB295" s="109"/>
      <c r="BC295" s="109"/>
      <c r="BD295" s="109"/>
      <c r="BE295" s="109"/>
      <c r="BF295" s="109"/>
      <c r="BG295" s="109"/>
      <c r="BH295" s="109"/>
      <c r="BI295" s="109"/>
      <c r="BJ295" s="109"/>
      <c r="BK295" s="109"/>
      <c r="BL295" s="109"/>
      <c r="BM295" s="109"/>
      <c r="BN295" s="109"/>
      <c r="BO295" s="109"/>
      <c r="BP295" s="109"/>
      <c r="BQ295" s="109"/>
      <c r="BR295" s="109"/>
      <c r="BS295" s="109"/>
      <c r="BT295" s="109"/>
      <c r="BU295" s="109"/>
      <c r="BV295" s="109"/>
      <c r="BW295" s="109"/>
      <c r="BX295" s="109"/>
      <c r="BY295" s="109"/>
      <c r="BZ295" s="109"/>
      <c r="CA295" s="109"/>
      <c r="CB295" s="109"/>
      <c r="CC295" s="109"/>
      <c r="CD295" s="109"/>
      <c r="CE295" s="109"/>
      <c r="CF295" s="109"/>
      <c r="CG295" s="109"/>
      <c r="CH295" s="109"/>
      <c r="CI295" s="109"/>
      <c r="CJ295" s="109"/>
      <c r="CK295" s="109"/>
      <c r="CL295" s="109"/>
      <c r="CM295" s="109"/>
      <c r="CN295" s="109"/>
      <c r="CO295" s="109"/>
      <c r="CP295" s="109"/>
      <c r="CQ295" s="109"/>
      <c r="CR295" s="109"/>
      <c r="CS295" s="109"/>
      <c r="CT295" s="109"/>
      <c r="CU295" s="109"/>
      <c r="CV295" s="109"/>
      <c r="CW295" s="109"/>
    </row>
    <row r="296" spans="1:101" s="5" customFormat="1" ht="13.5" customHeight="1">
      <c r="A296" s="67">
        <v>56</v>
      </c>
      <c r="B296" s="69">
        <v>771</v>
      </c>
      <c r="C296" s="69">
        <v>771591112</v>
      </c>
      <c r="D296" s="69" t="s">
        <v>269</v>
      </c>
      <c r="E296" s="69" t="s">
        <v>30</v>
      </c>
      <c r="F296" s="100">
        <f>SUM(F297:F298)</f>
        <v>117.88</v>
      </c>
      <c r="G296" s="71"/>
      <c r="H296" s="71">
        <f>F296*G296</f>
        <v>0</v>
      </c>
      <c r="I296" s="101" t="s">
        <v>31</v>
      </c>
      <c r="J296" s="329"/>
      <c r="K296" s="310"/>
      <c r="L296" s="298"/>
      <c r="M296" s="299"/>
      <c r="N296" s="300"/>
      <c r="O296" s="311"/>
      <c r="P296" s="207"/>
      <c r="Q296" s="207"/>
      <c r="R296" s="302"/>
      <c r="S296" s="211"/>
      <c r="T296" s="211"/>
      <c r="U296" s="211"/>
      <c r="V296" s="211"/>
      <c r="W296" s="211"/>
      <c r="X296" s="211"/>
      <c r="Y296" s="211"/>
      <c r="Z296" s="211"/>
      <c r="AA296" s="211"/>
      <c r="AB296" s="211"/>
      <c r="AC296" s="211"/>
      <c r="AD296" s="211"/>
      <c r="AE296" s="211"/>
      <c r="AF296" s="211"/>
      <c r="AG296" s="211"/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109"/>
      <c r="AT296" s="109"/>
      <c r="AU296" s="109"/>
      <c r="AV296" s="109"/>
      <c r="AW296" s="109"/>
      <c r="AX296" s="109"/>
      <c r="AY296" s="109"/>
      <c r="AZ296" s="109"/>
      <c r="BA296" s="109"/>
      <c r="BB296" s="109"/>
      <c r="BC296" s="109"/>
      <c r="BD296" s="109"/>
      <c r="BE296" s="109"/>
      <c r="BF296" s="109"/>
      <c r="BG296" s="109"/>
      <c r="BH296" s="109"/>
      <c r="BI296" s="109"/>
      <c r="BJ296" s="109"/>
      <c r="BK296" s="109"/>
      <c r="BL296" s="109"/>
      <c r="BM296" s="109"/>
      <c r="BN296" s="109"/>
      <c r="BO296" s="109"/>
      <c r="BP296" s="109"/>
      <c r="BQ296" s="109"/>
      <c r="BR296" s="109"/>
      <c r="BS296" s="109"/>
      <c r="BT296" s="109"/>
      <c r="BU296" s="109"/>
      <c r="BV296" s="109"/>
      <c r="BW296" s="109"/>
      <c r="BX296" s="109"/>
      <c r="BY296" s="109"/>
      <c r="BZ296" s="109"/>
      <c r="CA296" s="109"/>
      <c r="CB296" s="109"/>
      <c r="CC296" s="109"/>
      <c r="CD296" s="109"/>
      <c r="CE296" s="109"/>
      <c r="CF296" s="109"/>
      <c r="CG296" s="109"/>
      <c r="CH296" s="109"/>
      <c r="CI296" s="109"/>
      <c r="CJ296" s="109"/>
      <c r="CK296" s="109"/>
      <c r="CL296" s="109"/>
      <c r="CM296" s="109"/>
      <c r="CN296" s="109"/>
      <c r="CO296" s="109"/>
      <c r="CP296" s="109"/>
      <c r="CQ296" s="109"/>
      <c r="CR296" s="109"/>
      <c r="CS296" s="109"/>
      <c r="CT296" s="109"/>
      <c r="CU296" s="109"/>
      <c r="CV296" s="109"/>
      <c r="CW296" s="109"/>
    </row>
    <row r="297" spans="1:101" s="252" customFormat="1" ht="13.5" customHeight="1">
      <c r="A297" s="67"/>
      <c r="B297" s="68"/>
      <c r="C297" s="69"/>
      <c r="D297" s="76" t="s">
        <v>270</v>
      </c>
      <c r="E297" s="69"/>
      <c r="F297" s="77">
        <f>(170)*1</f>
        <v>170</v>
      </c>
      <c r="G297" s="71"/>
      <c r="H297" s="71"/>
      <c r="I297" s="101"/>
      <c r="J297" s="299"/>
      <c r="K297" s="299"/>
      <c r="L297" s="299"/>
      <c r="M297" s="299"/>
      <c r="N297" s="299"/>
      <c r="O297" s="299"/>
      <c r="P297" s="299"/>
      <c r="Q297" s="299"/>
      <c r="R297" s="299"/>
      <c r="S297" s="299"/>
      <c r="T297" s="299"/>
      <c r="U297" s="299"/>
      <c r="V297" s="299"/>
      <c r="W297" s="299"/>
      <c r="X297" s="299"/>
      <c r="Y297" s="299"/>
      <c r="Z297" s="299"/>
      <c r="AA297" s="299"/>
      <c r="AB297" s="299"/>
      <c r="AC297" s="299"/>
      <c r="AD297" s="299"/>
      <c r="AE297" s="299"/>
      <c r="AF297" s="299"/>
      <c r="AG297" s="299"/>
      <c r="AH297" s="299"/>
      <c r="AI297" s="299"/>
      <c r="AJ297" s="299"/>
      <c r="AK297" s="299"/>
      <c r="AL297" s="299"/>
      <c r="AM297" s="299"/>
      <c r="AN297" s="299"/>
      <c r="AO297" s="299"/>
      <c r="AP297" s="299"/>
      <c r="AQ297" s="299"/>
      <c r="AR297" s="299"/>
    </row>
    <row r="298" spans="1:101" s="252" customFormat="1" ht="13.5" customHeight="1">
      <c r="A298" s="67"/>
      <c r="B298" s="68"/>
      <c r="C298" s="69"/>
      <c r="D298" s="76" t="s">
        <v>271</v>
      </c>
      <c r="E298" s="69"/>
      <c r="F298" s="77">
        <f>-(16.39+16.4+17.38+1.95)</f>
        <v>-52.120000000000005</v>
      </c>
      <c r="G298" s="71"/>
      <c r="H298" s="71"/>
      <c r="I298" s="101"/>
      <c r="J298" s="330"/>
      <c r="K298" s="299"/>
      <c r="L298" s="299"/>
      <c r="M298" s="299"/>
      <c r="N298" s="299"/>
      <c r="O298" s="299"/>
      <c r="P298" s="299"/>
      <c r="Q298" s="299"/>
      <c r="R298" s="299"/>
      <c r="S298" s="299"/>
      <c r="T298" s="299"/>
      <c r="U298" s="299"/>
      <c r="V298" s="299"/>
      <c r="W298" s="299"/>
      <c r="X298" s="299"/>
      <c r="Y298" s="299"/>
      <c r="Z298" s="299"/>
      <c r="AA298" s="299"/>
      <c r="AB298" s="299"/>
      <c r="AC298" s="299"/>
      <c r="AD298" s="299"/>
      <c r="AE298" s="299"/>
      <c r="AF298" s="299"/>
      <c r="AG298" s="299"/>
      <c r="AH298" s="299"/>
      <c r="AI298" s="299"/>
      <c r="AJ298" s="299"/>
      <c r="AK298" s="299"/>
      <c r="AL298" s="299"/>
      <c r="AM298" s="299"/>
      <c r="AN298" s="299"/>
      <c r="AO298" s="299"/>
      <c r="AP298" s="299"/>
      <c r="AQ298" s="299"/>
      <c r="AR298" s="299"/>
    </row>
    <row r="299" spans="1:101" s="5" customFormat="1" ht="13.5" customHeight="1">
      <c r="A299" s="67">
        <v>57</v>
      </c>
      <c r="B299" s="69">
        <v>771</v>
      </c>
      <c r="C299" s="69">
        <v>998771203</v>
      </c>
      <c r="D299" s="69" t="s">
        <v>272</v>
      </c>
      <c r="E299" s="69" t="s">
        <v>237</v>
      </c>
      <c r="F299" s="100">
        <v>6.92</v>
      </c>
      <c r="G299" s="71"/>
      <c r="H299" s="71">
        <f>F299*G299</f>
        <v>0</v>
      </c>
      <c r="I299" s="101" t="s">
        <v>31</v>
      </c>
      <c r="J299" s="390"/>
      <c r="K299" s="331"/>
      <c r="L299" s="331"/>
      <c r="M299" s="211"/>
      <c r="N299" s="211"/>
      <c r="O299" s="311"/>
      <c r="P299" s="211"/>
      <c r="Q299" s="211"/>
      <c r="R299" s="211"/>
      <c r="S299" s="211"/>
      <c r="T299" s="211"/>
      <c r="U299" s="211"/>
      <c r="V299" s="211"/>
      <c r="W299" s="211"/>
      <c r="X299" s="211"/>
      <c r="Y299" s="211"/>
      <c r="Z299" s="211"/>
      <c r="AA299" s="211"/>
      <c r="AB299" s="211"/>
      <c r="AC299" s="211"/>
      <c r="AD299" s="211"/>
      <c r="AE299" s="211"/>
      <c r="AF299" s="211"/>
      <c r="AG299" s="211"/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109"/>
      <c r="AT299" s="109"/>
      <c r="AU299" s="109"/>
      <c r="AV299" s="109"/>
      <c r="AW299" s="109"/>
      <c r="AX299" s="109"/>
      <c r="AY299" s="109"/>
      <c r="AZ299" s="109"/>
      <c r="BA299" s="109"/>
      <c r="BB299" s="109"/>
      <c r="BC299" s="109"/>
      <c r="BD299" s="109"/>
      <c r="BE299" s="109"/>
      <c r="BF299" s="109"/>
      <c r="BG299" s="109"/>
      <c r="BH299" s="109"/>
      <c r="BI299" s="109"/>
      <c r="BJ299" s="109"/>
      <c r="BK299" s="109"/>
      <c r="BL299" s="109"/>
      <c r="BM299" s="109"/>
      <c r="BN299" s="109"/>
      <c r="BO299" s="109"/>
      <c r="BP299" s="109"/>
      <c r="BQ299" s="109"/>
      <c r="BR299" s="109"/>
      <c r="BS299" s="109"/>
      <c r="BT299" s="109"/>
      <c r="BU299" s="109"/>
      <c r="BV299" s="109"/>
      <c r="BW299" s="109"/>
      <c r="BX299" s="109"/>
      <c r="BY299" s="109"/>
      <c r="BZ299" s="109"/>
      <c r="CA299" s="109"/>
      <c r="CB299" s="109"/>
      <c r="CC299" s="109"/>
      <c r="CD299" s="109"/>
      <c r="CE299" s="109"/>
      <c r="CF299" s="109"/>
      <c r="CG299" s="109"/>
      <c r="CH299" s="109"/>
      <c r="CI299" s="109"/>
      <c r="CJ299" s="109"/>
      <c r="CK299" s="109"/>
      <c r="CL299" s="109"/>
      <c r="CM299" s="109"/>
      <c r="CN299" s="109"/>
      <c r="CO299" s="109"/>
      <c r="CP299" s="109"/>
      <c r="CQ299" s="109"/>
      <c r="CR299" s="109"/>
      <c r="CS299" s="109"/>
      <c r="CT299" s="109"/>
      <c r="CU299" s="109"/>
      <c r="CV299" s="109"/>
      <c r="CW299" s="109"/>
    </row>
    <row r="300" spans="1:101" s="5" customFormat="1" ht="13.5" customHeight="1">
      <c r="A300" s="67">
        <v>58</v>
      </c>
      <c r="B300" s="69" t="s">
        <v>50</v>
      </c>
      <c r="C300" s="69" t="s">
        <v>273</v>
      </c>
      <c r="D300" s="69" t="s">
        <v>274</v>
      </c>
      <c r="E300" s="69" t="s">
        <v>53</v>
      </c>
      <c r="F300" s="100">
        <f>F301</f>
        <v>30</v>
      </c>
      <c r="G300" s="71"/>
      <c r="H300" s="71">
        <f>F300*G300</f>
        <v>0</v>
      </c>
      <c r="I300" s="101" t="s">
        <v>31</v>
      </c>
      <c r="J300" s="211"/>
      <c r="K300" s="211"/>
      <c r="L300" s="211"/>
      <c r="M300" s="211"/>
      <c r="N300" s="211"/>
      <c r="O300" s="311"/>
      <c r="P300" s="211"/>
      <c r="Q300" s="211"/>
      <c r="R300" s="211"/>
      <c r="S300" s="211"/>
      <c r="T300" s="211"/>
      <c r="U300" s="211"/>
      <c r="V300" s="211"/>
      <c r="W300" s="211"/>
      <c r="X300" s="211"/>
      <c r="Y300" s="211"/>
      <c r="Z300" s="211"/>
      <c r="AA300" s="211"/>
      <c r="AB300" s="211"/>
      <c r="AC300" s="211"/>
      <c r="AD300" s="211"/>
      <c r="AE300" s="211"/>
      <c r="AF300" s="211"/>
      <c r="AG300" s="211"/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109"/>
      <c r="AT300" s="109"/>
      <c r="AU300" s="109"/>
      <c r="AV300" s="109"/>
      <c r="AW300" s="109"/>
      <c r="AX300" s="109"/>
      <c r="AY300" s="109"/>
      <c r="AZ300" s="109"/>
      <c r="BA300" s="109"/>
      <c r="BB300" s="109"/>
      <c r="BC300" s="109"/>
      <c r="BD300" s="109"/>
      <c r="BE300" s="109"/>
      <c r="BF300" s="109"/>
      <c r="BG300" s="109"/>
      <c r="BH300" s="109"/>
      <c r="BI300" s="109"/>
      <c r="BJ300" s="109"/>
      <c r="BK300" s="109"/>
      <c r="BL300" s="109"/>
      <c r="BM300" s="109"/>
      <c r="BN300" s="109"/>
      <c r="BO300" s="109"/>
      <c r="BP300" s="109"/>
      <c r="BQ300" s="109"/>
      <c r="BR300" s="109"/>
      <c r="BS300" s="109"/>
      <c r="BT300" s="109"/>
      <c r="BU300" s="109"/>
      <c r="BV300" s="109"/>
      <c r="BW300" s="109"/>
      <c r="BX300" s="109"/>
      <c r="BY300" s="109"/>
      <c r="BZ300" s="109"/>
      <c r="CA300" s="109"/>
      <c r="CB300" s="109"/>
      <c r="CC300" s="109"/>
      <c r="CD300" s="109"/>
      <c r="CE300" s="109"/>
      <c r="CF300" s="109"/>
      <c r="CG300" s="109"/>
      <c r="CH300" s="109"/>
      <c r="CI300" s="109"/>
      <c r="CJ300" s="109"/>
      <c r="CK300" s="109"/>
      <c r="CL300" s="109"/>
      <c r="CM300" s="109"/>
      <c r="CN300" s="109"/>
      <c r="CO300" s="109"/>
      <c r="CP300" s="109"/>
      <c r="CQ300" s="109"/>
      <c r="CR300" s="109"/>
      <c r="CS300" s="109"/>
      <c r="CT300" s="109"/>
      <c r="CU300" s="109"/>
      <c r="CV300" s="109"/>
      <c r="CW300" s="109"/>
    </row>
    <row r="301" spans="1:101" s="5" customFormat="1" ht="13.5" customHeight="1">
      <c r="A301" s="112"/>
      <c r="B301" s="114"/>
      <c r="C301" s="114"/>
      <c r="D301" s="76" t="s">
        <v>275</v>
      </c>
      <c r="E301" s="114"/>
      <c r="F301" s="77">
        <v>30</v>
      </c>
      <c r="G301" s="144"/>
      <c r="H301" s="71"/>
      <c r="I301" s="280"/>
      <c r="J301" s="211"/>
      <c r="K301" s="211"/>
      <c r="L301" s="211"/>
      <c r="M301" s="211"/>
      <c r="N301" s="211"/>
      <c r="O301" s="311"/>
      <c r="P301" s="211"/>
      <c r="Q301" s="211"/>
      <c r="R301" s="211"/>
      <c r="S301" s="211"/>
      <c r="T301" s="211"/>
      <c r="U301" s="211"/>
      <c r="V301" s="211"/>
      <c r="W301" s="211"/>
      <c r="X301" s="211"/>
      <c r="Y301" s="211"/>
      <c r="Z301" s="211"/>
      <c r="AA301" s="211"/>
      <c r="AB301" s="211"/>
      <c r="AC301" s="211"/>
      <c r="AD301" s="211"/>
      <c r="AE301" s="211"/>
      <c r="AF301" s="211"/>
      <c r="AG301" s="211"/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109"/>
      <c r="AT301" s="109"/>
      <c r="AU301" s="109"/>
      <c r="AV301" s="109"/>
      <c r="AW301" s="109"/>
      <c r="AX301" s="109"/>
      <c r="AY301" s="109"/>
      <c r="AZ301" s="109"/>
      <c r="BA301" s="109"/>
      <c r="BB301" s="109"/>
      <c r="BC301" s="109"/>
      <c r="BD301" s="109"/>
      <c r="BE301" s="109"/>
      <c r="BF301" s="109"/>
      <c r="BG301" s="109"/>
      <c r="BH301" s="109"/>
      <c r="BI301" s="109"/>
      <c r="BJ301" s="109"/>
      <c r="BK301" s="109"/>
      <c r="BL301" s="109"/>
      <c r="BM301" s="109"/>
      <c r="BN301" s="109"/>
      <c r="BO301" s="109"/>
      <c r="BP301" s="109"/>
      <c r="BQ301" s="109"/>
      <c r="BR301" s="109"/>
      <c r="BS301" s="109"/>
      <c r="BT301" s="109"/>
      <c r="BU301" s="109"/>
      <c r="BV301" s="109"/>
      <c r="BW301" s="109"/>
      <c r="BX301" s="109"/>
      <c r="BY301" s="109"/>
      <c r="BZ301" s="109"/>
      <c r="CA301" s="109"/>
      <c r="CB301" s="109"/>
      <c r="CC301" s="109"/>
      <c r="CD301" s="109"/>
      <c r="CE301" s="109"/>
      <c r="CF301" s="109"/>
      <c r="CG301" s="109"/>
      <c r="CH301" s="109"/>
      <c r="CI301" s="109"/>
      <c r="CJ301" s="109"/>
      <c r="CK301" s="109"/>
      <c r="CL301" s="109"/>
      <c r="CM301" s="109"/>
      <c r="CN301" s="109"/>
      <c r="CO301" s="109"/>
      <c r="CP301" s="109"/>
      <c r="CQ301" s="109"/>
      <c r="CR301" s="109"/>
      <c r="CS301" s="109"/>
      <c r="CT301" s="109"/>
      <c r="CU301" s="109"/>
      <c r="CV301" s="109"/>
      <c r="CW301" s="109"/>
    </row>
    <row r="302" spans="1:101" s="5" customFormat="1" ht="27" customHeight="1">
      <c r="A302" s="112"/>
      <c r="B302" s="114"/>
      <c r="C302" s="114"/>
      <c r="D302" s="76" t="s">
        <v>276</v>
      </c>
      <c r="E302" s="114"/>
      <c r="F302" s="77"/>
      <c r="G302" s="144"/>
      <c r="H302" s="71"/>
      <c r="I302" s="110"/>
      <c r="J302" s="211"/>
      <c r="K302" s="211"/>
      <c r="L302" s="211"/>
      <c r="M302" s="211"/>
      <c r="N302" s="211"/>
      <c r="O302" s="211"/>
      <c r="P302" s="211"/>
      <c r="Q302" s="211"/>
      <c r="R302" s="211"/>
      <c r="S302" s="211"/>
      <c r="T302" s="211"/>
      <c r="U302" s="211"/>
      <c r="V302" s="211"/>
      <c r="W302" s="211"/>
      <c r="X302" s="211"/>
      <c r="Y302" s="211"/>
      <c r="Z302" s="211"/>
      <c r="AA302" s="211"/>
      <c r="AB302" s="211"/>
      <c r="AC302" s="211"/>
      <c r="AD302" s="211"/>
      <c r="AE302" s="211"/>
      <c r="AF302" s="211"/>
      <c r="AG302" s="211"/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109"/>
      <c r="AT302" s="109"/>
      <c r="AU302" s="109"/>
      <c r="AV302" s="109"/>
      <c r="AW302" s="109"/>
      <c r="AX302" s="109"/>
      <c r="AY302" s="109"/>
      <c r="AZ302" s="109"/>
      <c r="BA302" s="109"/>
      <c r="BB302" s="109"/>
      <c r="BC302" s="109"/>
      <c r="BD302" s="109"/>
      <c r="BE302" s="109"/>
      <c r="BF302" s="109"/>
      <c r="BG302" s="109"/>
      <c r="BH302" s="109"/>
      <c r="BI302" s="109"/>
      <c r="BJ302" s="109"/>
      <c r="BK302" s="109"/>
      <c r="BL302" s="109"/>
      <c r="BM302" s="109"/>
      <c r="BN302" s="109"/>
      <c r="BO302" s="109"/>
      <c r="BP302" s="109"/>
      <c r="BQ302" s="109"/>
      <c r="BR302" s="109"/>
      <c r="BS302" s="109"/>
      <c r="BT302" s="109"/>
      <c r="BU302" s="109"/>
      <c r="BV302" s="109"/>
      <c r="BW302" s="109"/>
      <c r="BX302" s="109"/>
      <c r="BY302" s="109"/>
      <c r="BZ302" s="109"/>
      <c r="CA302" s="109"/>
      <c r="CB302" s="109"/>
      <c r="CC302" s="109"/>
      <c r="CD302" s="109"/>
      <c r="CE302" s="109"/>
      <c r="CF302" s="109"/>
      <c r="CG302" s="109"/>
      <c r="CH302" s="109"/>
      <c r="CI302" s="109"/>
      <c r="CJ302" s="109"/>
      <c r="CK302" s="109"/>
      <c r="CL302" s="109"/>
      <c r="CM302" s="109"/>
      <c r="CN302" s="109"/>
      <c r="CO302" s="109"/>
      <c r="CP302" s="109"/>
      <c r="CQ302" s="109"/>
      <c r="CR302" s="109"/>
      <c r="CS302" s="109"/>
      <c r="CT302" s="109"/>
      <c r="CU302" s="109"/>
      <c r="CV302" s="109"/>
      <c r="CW302" s="109"/>
    </row>
    <row r="303" spans="1:101" s="8" customFormat="1" ht="13.5" customHeight="1">
      <c r="A303" s="74"/>
      <c r="B303" s="75"/>
      <c r="C303" s="75" t="s">
        <v>277</v>
      </c>
      <c r="D303" s="75" t="s">
        <v>70</v>
      </c>
      <c r="E303" s="75"/>
      <c r="F303" s="158"/>
      <c r="G303" s="78"/>
      <c r="H303" s="78">
        <f>SUM(H304:H305,H308:H330)</f>
        <v>0</v>
      </c>
      <c r="I303" s="110"/>
      <c r="J303" s="318"/>
      <c r="K303" s="207"/>
      <c r="L303" s="207"/>
      <c r="M303" s="207"/>
      <c r="N303" s="207"/>
      <c r="O303" s="207"/>
      <c r="P303" s="207"/>
      <c r="Q303" s="207"/>
      <c r="R303" s="207"/>
      <c r="S303" s="207"/>
      <c r="T303" s="207"/>
      <c r="U303" s="207"/>
      <c r="V303" s="207"/>
      <c r="W303" s="207"/>
      <c r="X303" s="207"/>
      <c r="Y303" s="207"/>
      <c r="Z303" s="207"/>
      <c r="AA303" s="207"/>
      <c r="AB303" s="207"/>
      <c r="AC303" s="207"/>
      <c r="AD303" s="207"/>
      <c r="AE303" s="207"/>
      <c r="AF303" s="207"/>
      <c r="AG303" s="207"/>
      <c r="AH303" s="207"/>
      <c r="AI303" s="207"/>
      <c r="AJ303" s="207"/>
      <c r="AK303" s="207"/>
      <c r="AL303" s="207"/>
      <c r="AM303" s="207"/>
      <c r="AN303" s="207"/>
      <c r="AO303" s="207"/>
      <c r="AP303" s="207"/>
      <c r="AQ303" s="207"/>
      <c r="AR303" s="207"/>
      <c r="AS303" s="73"/>
      <c r="AT303" s="73"/>
      <c r="AU303" s="73"/>
      <c r="AV303" s="73"/>
      <c r="AW303" s="73"/>
      <c r="AX303" s="73"/>
      <c r="AY303" s="73"/>
      <c r="AZ303" s="73"/>
      <c r="BA303" s="73"/>
      <c r="BB303" s="73"/>
      <c r="BC303" s="73"/>
      <c r="BD303" s="73"/>
      <c r="BE303" s="73"/>
      <c r="BF303" s="73"/>
      <c r="BG303" s="73"/>
      <c r="BH303" s="73"/>
      <c r="BI303" s="73"/>
      <c r="BJ303" s="73"/>
      <c r="BK303" s="73"/>
      <c r="BL303" s="73"/>
      <c r="BM303" s="73"/>
      <c r="BN303" s="73"/>
      <c r="BO303" s="73"/>
      <c r="BP303" s="73"/>
      <c r="BQ303" s="73"/>
      <c r="BR303" s="73"/>
      <c r="BS303" s="73"/>
      <c r="BT303" s="73"/>
      <c r="BU303" s="73"/>
      <c r="BV303" s="73"/>
      <c r="BW303" s="73"/>
      <c r="BX303" s="73"/>
      <c r="BY303" s="73"/>
      <c r="BZ303" s="73"/>
      <c r="CA303" s="73"/>
      <c r="CB303" s="73"/>
      <c r="CC303" s="73"/>
      <c r="CD303" s="73"/>
      <c r="CE303" s="73"/>
      <c r="CF303" s="73"/>
      <c r="CG303" s="73"/>
      <c r="CH303" s="73"/>
      <c r="CI303" s="73"/>
      <c r="CJ303" s="73"/>
      <c r="CK303" s="73"/>
      <c r="CL303" s="73"/>
      <c r="CM303" s="73"/>
      <c r="CN303" s="73"/>
      <c r="CO303" s="73"/>
      <c r="CP303" s="73"/>
      <c r="CQ303" s="73"/>
      <c r="CR303" s="73"/>
      <c r="CS303" s="73"/>
      <c r="CT303" s="73"/>
      <c r="CU303" s="73"/>
      <c r="CV303" s="73"/>
      <c r="CW303" s="73"/>
    </row>
    <row r="304" spans="1:101" s="8" customFormat="1" ht="13.5" customHeight="1">
      <c r="A304" s="67">
        <v>59</v>
      </c>
      <c r="B304" s="69" t="s">
        <v>277</v>
      </c>
      <c r="C304" s="69" t="s">
        <v>347</v>
      </c>
      <c r="D304" s="69" t="s">
        <v>278</v>
      </c>
      <c r="E304" s="69" t="s">
        <v>30</v>
      </c>
      <c r="F304" s="100">
        <f>SUM(F308:F313)</f>
        <v>500.32</v>
      </c>
      <c r="G304" s="108">
        <f>SUM(H306:H307)/F304</f>
        <v>0</v>
      </c>
      <c r="H304" s="71">
        <f>F304*G304</f>
        <v>0</v>
      </c>
      <c r="I304" s="101" t="s">
        <v>39</v>
      </c>
      <c r="J304" s="322"/>
      <c r="K304" s="326"/>
      <c r="L304" s="326"/>
      <c r="M304" s="326"/>
      <c r="N304" s="326"/>
      <c r="O304" s="326"/>
      <c r="P304" s="326"/>
      <c r="Q304" s="211"/>
      <c r="R304" s="327"/>
      <c r="S304" s="207"/>
      <c r="T304" s="207"/>
      <c r="U304" s="207"/>
      <c r="V304" s="207"/>
      <c r="W304" s="207"/>
      <c r="X304" s="207"/>
      <c r="Y304" s="207"/>
      <c r="Z304" s="207"/>
      <c r="AA304" s="207"/>
      <c r="AB304" s="207"/>
      <c r="AC304" s="207"/>
      <c r="AD304" s="207"/>
      <c r="AE304" s="207"/>
      <c r="AF304" s="207"/>
      <c r="AG304" s="207"/>
      <c r="AH304" s="207"/>
      <c r="AI304" s="207"/>
      <c r="AJ304" s="207"/>
      <c r="AK304" s="207"/>
      <c r="AL304" s="207"/>
      <c r="AM304" s="207"/>
      <c r="AN304" s="207"/>
      <c r="AO304" s="207"/>
      <c r="AP304" s="207"/>
      <c r="AQ304" s="207"/>
      <c r="AR304" s="207"/>
      <c r="AS304" s="73"/>
      <c r="AT304" s="73"/>
      <c r="AU304" s="73"/>
      <c r="AV304" s="73"/>
      <c r="AW304" s="73"/>
      <c r="AX304" s="73"/>
      <c r="AY304" s="73"/>
      <c r="AZ304" s="73"/>
      <c r="BA304" s="73"/>
      <c r="BB304" s="73"/>
      <c r="BC304" s="73"/>
      <c r="BD304" s="73"/>
      <c r="BE304" s="73"/>
      <c r="BF304" s="73"/>
      <c r="BG304" s="73"/>
      <c r="BH304" s="73"/>
      <c r="BI304" s="73"/>
      <c r="BJ304" s="73"/>
      <c r="BK304" s="73"/>
      <c r="BL304" s="73"/>
      <c r="BM304" s="73"/>
      <c r="BN304" s="73"/>
      <c r="BO304" s="73"/>
      <c r="BP304" s="73"/>
      <c r="BQ304" s="73"/>
      <c r="BR304" s="73"/>
      <c r="BS304" s="73"/>
      <c r="BT304" s="73"/>
      <c r="BU304" s="73"/>
      <c r="BV304" s="73"/>
      <c r="BW304" s="73"/>
      <c r="BX304" s="73"/>
      <c r="BY304" s="73"/>
      <c r="BZ304" s="73"/>
      <c r="CA304" s="73"/>
      <c r="CB304" s="73"/>
      <c r="CC304" s="73"/>
      <c r="CD304" s="73"/>
      <c r="CE304" s="73"/>
      <c r="CF304" s="73"/>
      <c r="CG304" s="73"/>
      <c r="CH304" s="73"/>
      <c r="CI304" s="73"/>
      <c r="CJ304" s="73"/>
      <c r="CK304" s="73"/>
      <c r="CL304" s="73"/>
      <c r="CM304" s="73"/>
      <c r="CN304" s="73"/>
      <c r="CO304" s="73"/>
      <c r="CP304" s="73"/>
      <c r="CQ304" s="73"/>
      <c r="CR304" s="73"/>
      <c r="CS304" s="73"/>
      <c r="CT304" s="73"/>
      <c r="CU304" s="73"/>
      <c r="CV304" s="73"/>
      <c r="CW304" s="73"/>
    </row>
    <row r="305" spans="1:144" s="214" customFormat="1" ht="13.5" customHeight="1">
      <c r="A305" s="334"/>
      <c r="B305" s="335"/>
      <c r="C305" s="335"/>
      <c r="D305" s="336" t="s">
        <v>449</v>
      </c>
      <c r="E305" s="335"/>
      <c r="F305" s="337"/>
      <c r="G305" s="338"/>
      <c r="H305" s="338"/>
      <c r="I305" s="339"/>
      <c r="J305" s="211"/>
      <c r="K305" s="207"/>
      <c r="L305" s="207"/>
      <c r="M305" s="207"/>
      <c r="N305" s="207"/>
      <c r="O305" s="207"/>
      <c r="P305" s="207"/>
      <c r="Q305" s="207"/>
      <c r="R305" s="207"/>
      <c r="S305" s="207"/>
      <c r="T305" s="207"/>
      <c r="U305" s="207"/>
      <c r="V305" s="207"/>
      <c r="W305" s="207"/>
      <c r="X305" s="207"/>
      <c r="Y305" s="207"/>
      <c r="Z305" s="207"/>
      <c r="AA305" s="207"/>
      <c r="AB305" s="207"/>
      <c r="AC305" s="207"/>
      <c r="AD305" s="207"/>
      <c r="AE305" s="207"/>
      <c r="AF305" s="207"/>
      <c r="AG305" s="207"/>
      <c r="AH305" s="207"/>
      <c r="AI305" s="207"/>
      <c r="AJ305" s="207"/>
      <c r="AK305" s="207"/>
      <c r="AL305" s="207"/>
      <c r="AM305" s="207"/>
      <c r="AN305" s="207"/>
      <c r="AO305" s="207"/>
      <c r="AP305" s="207"/>
      <c r="AQ305" s="207"/>
      <c r="AR305" s="207"/>
      <c r="AS305" s="207"/>
      <c r="AT305" s="207"/>
      <c r="AU305" s="207"/>
      <c r="AV305" s="207"/>
      <c r="AW305" s="207"/>
      <c r="AX305" s="207"/>
      <c r="AY305" s="207"/>
      <c r="AZ305" s="207"/>
      <c r="BA305" s="207"/>
      <c r="BB305" s="207"/>
      <c r="BC305" s="207"/>
      <c r="BD305" s="207"/>
      <c r="BE305" s="207"/>
      <c r="BF305" s="207"/>
      <c r="BG305" s="207"/>
      <c r="BH305" s="207"/>
      <c r="BI305" s="207"/>
      <c r="BJ305" s="207"/>
      <c r="BK305" s="207"/>
      <c r="BL305" s="207"/>
      <c r="BM305" s="207"/>
      <c r="BN305" s="207"/>
      <c r="BO305" s="207"/>
      <c r="BP305" s="207"/>
      <c r="BQ305" s="207"/>
      <c r="BR305" s="207"/>
      <c r="BS305" s="207"/>
      <c r="BT305" s="207"/>
      <c r="BU305" s="207"/>
      <c r="BV305" s="207"/>
      <c r="BW305" s="207"/>
      <c r="BX305" s="207"/>
      <c r="BY305" s="207"/>
      <c r="BZ305" s="207"/>
      <c r="CA305" s="207"/>
      <c r="CB305" s="207"/>
      <c r="CC305" s="207"/>
      <c r="CD305" s="207"/>
      <c r="CE305" s="207"/>
      <c r="CF305" s="207"/>
      <c r="CG305" s="207"/>
      <c r="CH305" s="207"/>
      <c r="CI305" s="207"/>
      <c r="CJ305" s="207"/>
      <c r="CK305" s="207"/>
      <c r="CL305" s="207"/>
      <c r="CM305" s="207"/>
      <c r="CN305" s="207"/>
      <c r="CO305" s="207"/>
      <c r="CP305" s="207"/>
      <c r="CQ305" s="207"/>
      <c r="CR305" s="207"/>
      <c r="CS305" s="207"/>
      <c r="CT305" s="207"/>
      <c r="CU305" s="207"/>
      <c r="CV305" s="207"/>
      <c r="CW305" s="207"/>
    </row>
    <row r="306" spans="1:144" s="5" customFormat="1" ht="13.5" customHeight="1">
      <c r="A306" s="274" t="s">
        <v>467</v>
      </c>
      <c r="B306" s="114"/>
      <c r="C306" s="114"/>
      <c r="D306" s="76" t="s">
        <v>285</v>
      </c>
      <c r="E306" s="111" t="s">
        <v>30</v>
      </c>
      <c r="F306" s="275">
        <f>F304</f>
        <v>500.32</v>
      </c>
      <c r="G306" s="276"/>
      <c r="H306" s="342">
        <f>F306*G306</f>
        <v>0</v>
      </c>
      <c r="I306" s="110"/>
      <c r="J306" s="386"/>
      <c r="K306" s="207"/>
      <c r="L306" s="386"/>
      <c r="M306" s="207"/>
      <c r="N306" s="207"/>
      <c r="O306" s="207"/>
      <c r="P306" s="207"/>
      <c r="Q306" s="207"/>
      <c r="R306" s="318"/>
      <c r="S306" s="299"/>
      <c r="T306" s="299"/>
      <c r="U306" s="299"/>
      <c r="V306" s="299"/>
      <c r="W306" s="211"/>
      <c r="X306" s="211"/>
      <c r="Y306" s="211"/>
      <c r="Z306" s="211"/>
      <c r="AA306" s="211"/>
      <c r="AB306" s="211"/>
      <c r="AC306" s="211"/>
      <c r="AD306" s="211"/>
      <c r="AE306" s="211"/>
      <c r="AF306" s="211"/>
      <c r="AG306" s="211"/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109"/>
      <c r="AT306" s="109"/>
      <c r="AU306" s="109"/>
      <c r="AV306" s="109"/>
      <c r="AW306" s="109"/>
      <c r="AX306" s="109"/>
      <c r="AY306" s="109"/>
      <c r="AZ306" s="109"/>
      <c r="BA306" s="109"/>
      <c r="BB306" s="109"/>
      <c r="BC306" s="109"/>
      <c r="BD306" s="109"/>
      <c r="BE306" s="109"/>
      <c r="BF306" s="109"/>
      <c r="BG306" s="109"/>
      <c r="BH306" s="109"/>
      <c r="BI306" s="109"/>
      <c r="BJ306" s="109"/>
      <c r="BK306" s="109"/>
      <c r="BL306" s="109"/>
      <c r="BM306" s="109"/>
      <c r="BN306" s="109"/>
      <c r="BO306" s="109"/>
      <c r="BP306" s="109"/>
      <c r="BQ306" s="109"/>
      <c r="BR306" s="109"/>
      <c r="BS306" s="109"/>
      <c r="BT306" s="109"/>
      <c r="BU306" s="109"/>
      <c r="BV306" s="109"/>
      <c r="BW306" s="109"/>
      <c r="BX306" s="109"/>
      <c r="BY306" s="109"/>
      <c r="BZ306" s="109"/>
      <c r="CA306" s="109"/>
      <c r="CB306" s="109"/>
      <c r="CC306" s="109"/>
      <c r="CD306" s="109"/>
      <c r="CE306" s="109"/>
      <c r="CF306" s="109"/>
      <c r="CG306" s="109"/>
      <c r="CH306" s="109"/>
      <c r="CI306" s="109"/>
      <c r="CJ306" s="109"/>
      <c r="CK306" s="109"/>
      <c r="CL306" s="109"/>
      <c r="CM306" s="109"/>
      <c r="CN306" s="109"/>
      <c r="CO306" s="109"/>
      <c r="CP306" s="109"/>
      <c r="CQ306" s="109"/>
      <c r="CR306" s="109"/>
      <c r="CS306" s="109"/>
      <c r="CT306" s="109"/>
      <c r="CU306" s="109"/>
      <c r="CV306" s="109"/>
      <c r="CW306" s="109"/>
    </row>
    <row r="307" spans="1:144" s="5" customFormat="1" ht="13.5" customHeight="1">
      <c r="A307" s="274" t="s">
        <v>468</v>
      </c>
      <c r="B307" s="114"/>
      <c r="C307" s="114"/>
      <c r="D307" s="76" t="s">
        <v>286</v>
      </c>
      <c r="E307" s="111" t="s">
        <v>30</v>
      </c>
      <c r="F307" s="77">
        <v>600.4</v>
      </c>
      <c r="G307" s="276"/>
      <c r="H307" s="342">
        <f>F307*G307</f>
        <v>0</v>
      </c>
      <c r="I307" s="110"/>
      <c r="J307" s="386"/>
      <c r="K307" s="207"/>
      <c r="L307" s="386"/>
      <c r="M307" s="207"/>
      <c r="N307" s="207"/>
      <c r="O307" s="207"/>
      <c r="P307" s="207"/>
      <c r="Q307" s="207"/>
      <c r="R307" s="318"/>
      <c r="S307" s="299"/>
      <c r="T307" s="299"/>
      <c r="U307" s="299"/>
      <c r="V307" s="299"/>
      <c r="W307" s="211"/>
      <c r="X307" s="211"/>
      <c r="Y307" s="211"/>
      <c r="Z307" s="211"/>
      <c r="AA307" s="211"/>
      <c r="AB307" s="211"/>
      <c r="AC307" s="211"/>
      <c r="AD307" s="211"/>
      <c r="AE307" s="211"/>
      <c r="AF307" s="211"/>
      <c r="AG307" s="211"/>
      <c r="AH307" s="211"/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109"/>
      <c r="AT307" s="109"/>
      <c r="AU307" s="109"/>
      <c r="AV307" s="109"/>
      <c r="AW307" s="109"/>
      <c r="AX307" s="109"/>
      <c r="AY307" s="109"/>
      <c r="AZ307" s="109"/>
      <c r="BA307" s="109"/>
      <c r="BB307" s="109"/>
      <c r="BC307" s="109"/>
      <c r="BD307" s="109"/>
      <c r="BE307" s="109"/>
      <c r="BF307" s="109"/>
      <c r="BG307" s="109"/>
      <c r="BH307" s="109"/>
      <c r="BI307" s="109"/>
      <c r="BJ307" s="109"/>
      <c r="BK307" s="109"/>
      <c r="BL307" s="109"/>
      <c r="BM307" s="109"/>
      <c r="BN307" s="109"/>
      <c r="BO307" s="109"/>
      <c r="BP307" s="109"/>
      <c r="BQ307" s="109"/>
      <c r="BR307" s="109"/>
      <c r="BS307" s="109"/>
      <c r="BT307" s="109"/>
      <c r="BU307" s="109"/>
      <c r="BV307" s="109"/>
      <c r="BW307" s="109"/>
      <c r="BX307" s="109"/>
      <c r="BY307" s="109"/>
      <c r="BZ307" s="109"/>
      <c r="CA307" s="109"/>
      <c r="CB307" s="109"/>
      <c r="CC307" s="109"/>
      <c r="CD307" s="109"/>
      <c r="CE307" s="109"/>
      <c r="CF307" s="109"/>
      <c r="CG307" s="109"/>
      <c r="CH307" s="109"/>
      <c r="CI307" s="109"/>
      <c r="CJ307" s="109"/>
      <c r="CK307" s="109"/>
      <c r="CL307" s="109"/>
      <c r="CM307" s="109"/>
      <c r="CN307" s="109"/>
      <c r="CO307" s="109"/>
      <c r="CP307" s="109"/>
      <c r="CQ307" s="109"/>
      <c r="CR307" s="109"/>
      <c r="CS307" s="109"/>
      <c r="CT307" s="109"/>
      <c r="CU307" s="109"/>
      <c r="CV307" s="109"/>
      <c r="CW307" s="109"/>
    </row>
    <row r="308" spans="1:144" s="8" customFormat="1" ht="13.5" customHeight="1">
      <c r="A308" s="67"/>
      <c r="B308" s="68"/>
      <c r="C308" s="69"/>
      <c r="D308" s="76" t="s">
        <v>279</v>
      </c>
      <c r="E308" s="69"/>
      <c r="F308" s="77">
        <f>42.99</f>
        <v>42.99</v>
      </c>
      <c r="G308" s="71"/>
      <c r="H308" s="71"/>
      <c r="I308" s="79"/>
      <c r="J308" s="386"/>
      <c r="K308" s="207"/>
      <c r="L308" s="386"/>
      <c r="M308" s="207"/>
      <c r="N308" s="207"/>
      <c r="O308" s="207"/>
      <c r="P308" s="207"/>
      <c r="Q308" s="207"/>
      <c r="R308" s="318"/>
      <c r="S308" s="299"/>
      <c r="T308" s="299"/>
      <c r="U308" s="299"/>
      <c r="V308" s="299"/>
      <c r="W308" s="207"/>
      <c r="X308" s="207"/>
      <c r="Y308" s="207"/>
      <c r="Z308" s="207"/>
      <c r="AA308" s="207"/>
      <c r="AB308" s="207"/>
      <c r="AC308" s="207"/>
      <c r="AD308" s="207"/>
      <c r="AE308" s="207"/>
      <c r="AF308" s="207"/>
      <c r="AG308" s="207"/>
      <c r="AH308" s="207"/>
      <c r="AI308" s="207"/>
      <c r="AJ308" s="207"/>
      <c r="AK308" s="207"/>
      <c r="AL308" s="207"/>
      <c r="AM308" s="207"/>
      <c r="AN308" s="207"/>
      <c r="AO308" s="207"/>
      <c r="AP308" s="207"/>
      <c r="AQ308" s="207"/>
      <c r="AR308" s="207"/>
      <c r="AS308" s="73"/>
      <c r="AT308" s="73"/>
      <c r="AU308" s="73"/>
      <c r="AV308" s="73"/>
      <c r="AW308" s="73"/>
      <c r="AX308" s="73"/>
      <c r="AY308" s="73"/>
      <c r="AZ308" s="73"/>
      <c r="BA308" s="73"/>
      <c r="BB308" s="73"/>
      <c r="BC308" s="73"/>
      <c r="BD308" s="73"/>
      <c r="BE308" s="73"/>
      <c r="BF308" s="73"/>
      <c r="BG308" s="73"/>
      <c r="BH308" s="73"/>
      <c r="BI308" s="73"/>
      <c r="BJ308" s="73"/>
      <c r="BK308" s="73"/>
      <c r="BL308" s="73"/>
      <c r="BM308" s="73"/>
      <c r="BN308" s="73"/>
      <c r="BO308" s="73"/>
      <c r="BP308" s="73"/>
      <c r="BQ308" s="73"/>
      <c r="BR308" s="73"/>
      <c r="BS308" s="73"/>
      <c r="BT308" s="73"/>
      <c r="BU308" s="73"/>
      <c r="BV308" s="73"/>
      <c r="BW308" s="73"/>
      <c r="BX308" s="73"/>
      <c r="BY308" s="73"/>
      <c r="BZ308" s="73"/>
      <c r="CA308" s="73"/>
      <c r="CB308" s="73"/>
      <c r="CC308" s="73"/>
      <c r="CD308" s="73"/>
      <c r="CE308" s="73"/>
      <c r="CF308" s="73"/>
      <c r="CG308" s="73"/>
      <c r="CH308" s="73"/>
      <c r="CI308" s="73"/>
      <c r="CJ308" s="73"/>
      <c r="CK308" s="73"/>
      <c r="CL308" s="73"/>
      <c r="CM308" s="73"/>
      <c r="CN308" s="73"/>
      <c r="CO308" s="73"/>
      <c r="CP308" s="73"/>
      <c r="CQ308" s="73"/>
      <c r="CR308" s="73"/>
      <c r="CS308" s="73"/>
      <c r="CT308" s="73"/>
      <c r="CU308" s="73"/>
      <c r="CV308" s="73"/>
      <c r="CW308" s="73"/>
    </row>
    <row r="309" spans="1:144" s="8" customFormat="1" ht="13.5" customHeight="1">
      <c r="A309" s="67"/>
      <c r="B309" s="68"/>
      <c r="C309" s="69"/>
      <c r="D309" s="76" t="s">
        <v>280</v>
      </c>
      <c r="E309" s="69"/>
      <c r="F309" s="77">
        <f>128.4</f>
        <v>128.4</v>
      </c>
      <c r="G309" s="71"/>
      <c r="H309" s="71"/>
      <c r="I309" s="79"/>
      <c r="J309" s="386"/>
      <c r="K309" s="207"/>
      <c r="L309" s="386"/>
      <c r="M309" s="207"/>
      <c r="N309" s="207"/>
      <c r="O309" s="207"/>
      <c r="P309" s="207"/>
      <c r="Q309" s="207"/>
      <c r="R309" s="318"/>
      <c r="S309" s="299"/>
      <c r="T309" s="299"/>
      <c r="U309" s="299"/>
      <c r="V309" s="299"/>
      <c r="W309" s="207"/>
      <c r="X309" s="207"/>
      <c r="Y309" s="207"/>
      <c r="Z309" s="207"/>
      <c r="AA309" s="207"/>
      <c r="AB309" s="207"/>
      <c r="AC309" s="207"/>
      <c r="AD309" s="207"/>
      <c r="AE309" s="207"/>
      <c r="AF309" s="207"/>
      <c r="AG309" s="207"/>
      <c r="AH309" s="207"/>
      <c r="AI309" s="207"/>
      <c r="AJ309" s="207"/>
      <c r="AK309" s="207"/>
      <c r="AL309" s="207"/>
      <c r="AM309" s="207"/>
      <c r="AN309" s="207"/>
      <c r="AO309" s="207"/>
      <c r="AP309" s="207"/>
      <c r="AQ309" s="207"/>
      <c r="AR309" s="207"/>
      <c r="AS309" s="73"/>
      <c r="AT309" s="73"/>
      <c r="AU309" s="73"/>
      <c r="AV309" s="73"/>
      <c r="AW309" s="73"/>
      <c r="AX309" s="73"/>
      <c r="AY309" s="73"/>
      <c r="AZ309" s="73"/>
      <c r="BA309" s="73"/>
      <c r="BB309" s="73"/>
      <c r="BC309" s="73"/>
      <c r="BD309" s="73"/>
      <c r="BE309" s="73"/>
      <c r="BF309" s="73"/>
      <c r="BG309" s="73"/>
      <c r="BH309" s="73"/>
      <c r="BI309" s="73"/>
      <c r="BJ309" s="73"/>
      <c r="BK309" s="73"/>
      <c r="BL309" s="73"/>
      <c r="BM309" s="73"/>
      <c r="BN309" s="73"/>
      <c r="BO309" s="73"/>
      <c r="BP309" s="73"/>
      <c r="BQ309" s="73"/>
      <c r="BR309" s="73"/>
      <c r="BS309" s="73"/>
      <c r="BT309" s="73"/>
      <c r="BU309" s="73"/>
      <c r="BV309" s="73"/>
      <c r="BW309" s="73"/>
      <c r="BX309" s="73"/>
      <c r="BY309" s="73"/>
      <c r="BZ309" s="73"/>
      <c r="CA309" s="73"/>
      <c r="CB309" s="73"/>
      <c r="CC309" s="73"/>
      <c r="CD309" s="73"/>
      <c r="CE309" s="73"/>
      <c r="CF309" s="73"/>
      <c r="CG309" s="73"/>
      <c r="CH309" s="73"/>
      <c r="CI309" s="73"/>
      <c r="CJ309" s="73"/>
      <c r="CK309" s="73"/>
      <c r="CL309" s="73"/>
      <c r="CM309" s="73"/>
      <c r="CN309" s="73"/>
      <c r="CO309" s="73"/>
      <c r="CP309" s="73"/>
      <c r="CQ309" s="73"/>
      <c r="CR309" s="73"/>
      <c r="CS309" s="73"/>
      <c r="CT309" s="73"/>
      <c r="CU309" s="73"/>
      <c r="CV309" s="73"/>
      <c r="CW309" s="73"/>
    </row>
    <row r="310" spans="1:144" s="8" customFormat="1" ht="13.5" customHeight="1">
      <c r="A310" s="67"/>
      <c r="B310" s="68"/>
      <c r="C310" s="69"/>
      <c r="D310" s="76" t="s">
        <v>281</v>
      </c>
      <c r="E310" s="69"/>
      <c r="F310" s="77">
        <f>125.4</f>
        <v>125.4</v>
      </c>
      <c r="G310" s="71"/>
      <c r="H310" s="71"/>
      <c r="I310" s="79"/>
      <c r="J310" s="212"/>
      <c r="K310" s="207"/>
      <c r="L310" s="386"/>
      <c r="M310" s="207"/>
      <c r="N310" s="207"/>
      <c r="O310" s="207"/>
      <c r="P310" s="207"/>
      <c r="Q310" s="207"/>
      <c r="R310" s="318"/>
      <c r="S310" s="299"/>
      <c r="T310" s="299"/>
      <c r="U310" s="299"/>
      <c r="V310" s="299"/>
      <c r="W310" s="207"/>
      <c r="X310" s="207"/>
      <c r="Y310" s="207"/>
      <c r="Z310" s="207"/>
      <c r="AA310" s="207"/>
      <c r="AB310" s="207"/>
      <c r="AC310" s="207"/>
      <c r="AD310" s="207"/>
      <c r="AE310" s="207"/>
      <c r="AF310" s="207"/>
      <c r="AG310" s="207"/>
      <c r="AH310" s="207"/>
      <c r="AI310" s="207"/>
      <c r="AJ310" s="207"/>
      <c r="AK310" s="207"/>
      <c r="AL310" s="207"/>
      <c r="AM310" s="207"/>
      <c r="AN310" s="207"/>
      <c r="AO310" s="207"/>
      <c r="AP310" s="207"/>
      <c r="AQ310" s="207"/>
      <c r="AR310" s="207"/>
      <c r="AS310" s="73"/>
      <c r="AT310" s="73"/>
      <c r="AU310" s="73"/>
      <c r="AV310" s="73"/>
      <c r="AW310" s="73"/>
      <c r="AX310" s="73"/>
      <c r="AY310" s="73"/>
      <c r="AZ310" s="73"/>
      <c r="BA310" s="73"/>
      <c r="BB310" s="73"/>
      <c r="BC310" s="73"/>
      <c r="BD310" s="73"/>
      <c r="BE310" s="73"/>
      <c r="BF310" s="73"/>
      <c r="BG310" s="73"/>
      <c r="BH310" s="73"/>
      <c r="BI310" s="73"/>
      <c r="BJ310" s="73"/>
      <c r="BK310" s="73"/>
      <c r="BL310" s="73"/>
      <c r="BM310" s="73"/>
      <c r="BN310" s="73"/>
      <c r="BO310" s="73"/>
      <c r="BP310" s="73"/>
      <c r="BQ310" s="73"/>
      <c r="BR310" s="73"/>
      <c r="BS310" s="73"/>
      <c r="BT310" s="73"/>
      <c r="BU310" s="73"/>
      <c r="BV310" s="73"/>
      <c r="BW310" s="73"/>
      <c r="BX310" s="73"/>
      <c r="BY310" s="73"/>
      <c r="BZ310" s="73"/>
      <c r="CA310" s="73"/>
      <c r="CB310" s="73"/>
      <c r="CC310" s="73"/>
      <c r="CD310" s="73"/>
      <c r="CE310" s="73"/>
      <c r="CF310" s="73"/>
      <c r="CG310" s="73"/>
      <c r="CH310" s="73"/>
      <c r="CI310" s="73"/>
      <c r="CJ310" s="73"/>
      <c r="CK310" s="73"/>
      <c r="CL310" s="73"/>
      <c r="CM310" s="73"/>
      <c r="CN310" s="73"/>
      <c r="CO310" s="73"/>
      <c r="CP310" s="73"/>
      <c r="CQ310" s="73"/>
      <c r="CR310" s="73"/>
      <c r="CS310" s="73"/>
      <c r="CT310" s="73"/>
      <c r="CU310" s="73"/>
      <c r="CV310" s="73"/>
      <c r="CW310" s="73"/>
    </row>
    <row r="311" spans="1:144" s="8" customFormat="1" ht="13.5" customHeight="1">
      <c r="A311" s="67"/>
      <c r="B311" s="68"/>
      <c r="C311" s="69"/>
      <c r="D311" s="76" t="s">
        <v>282</v>
      </c>
      <c r="E311" s="69"/>
      <c r="F311" s="77">
        <f>123.3</f>
        <v>123.3</v>
      </c>
      <c r="G311" s="71"/>
      <c r="H311" s="71"/>
      <c r="I311" s="79"/>
      <c r="J311" s="386"/>
      <c r="K311" s="207"/>
      <c r="L311" s="386"/>
      <c r="M311" s="207"/>
      <c r="N311" s="207"/>
      <c r="O311" s="207"/>
      <c r="P311" s="207"/>
      <c r="Q311" s="207"/>
      <c r="R311" s="318"/>
      <c r="S311" s="299"/>
      <c r="T311" s="299"/>
      <c r="U311" s="299"/>
      <c r="V311" s="299"/>
      <c r="W311" s="207"/>
      <c r="X311" s="207"/>
      <c r="Y311" s="207"/>
      <c r="Z311" s="207"/>
      <c r="AA311" s="207"/>
      <c r="AB311" s="207"/>
      <c r="AC311" s="207"/>
      <c r="AD311" s="207"/>
      <c r="AE311" s="207"/>
      <c r="AF311" s="207"/>
      <c r="AG311" s="207"/>
      <c r="AH311" s="207"/>
      <c r="AI311" s="207"/>
      <c r="AJ311" s="207"/>
      <c r="AK311" s="207"/>
      <c r="AL311" s="207"/>
      <c r="AM311" s="207"/>
      <c r="AN311" s="207"/>
      <c r="AO311" s="207"/>
      <c r="AP311" s="207"/>
      <c r="AQ311" s="207"/>
      <c r="AR311" s="207"/>
      <c r="AS311" s="73"/>
      <c r="AT311" s="73"/>
      <c r="AU311" s="73"/>
      <c r="AV311" s="73"/>
      <c r="AW311" s="73"/>
      <c r="AX311" s="73"/>
      <c r="AY311" s="73"/>
      <c r="AZ311" s="73"/>
      <c r="BA311" s="73"/>
      <c r="BB311" s="73"/>
      <c r="BC311" s="73"/>
      <c r="BD311" s="73"/>
      <c r="BE311" s="73"/>
      <c r="BF311" s="73"/>
      <c r="BG311" s="73"/>
      <c r="BH311" s="73"/>
      <c r="BI311" s="73"/>
      <c r="BJ311" s="73"/>
      <c r="BK311" s="73"/>
      <c r="BL311" s="73"/>
      <c r="BM311" s="73"/>
      <c r="BN311" s="73"/>
      <c r="BO311" s="73"/>
      <c r="BP311" s="73"/>
      <c r="BQ311" s="73"/>
      <c r="BR311" s="73"/>
      <c r="BS311" s="73"/>
      <c r="BT311" s="73"/>
      <c r="BU311" s="73"/>
      <c r="BV311" s="73"/>
      <c r="BW311" s="73"/>
      <c r="BX311" s="73"/>
      <c r="BY311" s="73"/>
      <c r="BZ311" s="73"/>
      <c r="CA311" s="73"/>
      <c r="CB311" s="73"/>
      <c r="CC311" s="73"/>
      <c r="CD311" s="73"/>
      <c r="CE311" s="73"/>
      <c r="CF311" s="73"/>
      <c r="CG311" s="73"/>
      <c r="CH311" s="73"/>
      <c r="CI311" s="73"/>
      <c r="CJ311" s="73"/>
      <c r="CK311" s="73"/>
      <c r="CL311" s="73"/>
      <c r="CM311" s="73"/>
      <c r="CN311" s="73"/>
      <c r="CO311" s="73"/>
      <c r="CP311" s="73"/>
      <c r="CQ311" s="73"/>
      <c r="CR311" s="73"/>
      <c r="CS311" s="73"/>
      <c r="CT311" s="73"/>
      <c r="CU311" s="73"/>
      <c r="CV311" s="73"/>
      <c r="CW311" s="73"/>
    </row>
    <row r="312" spans="1:144" s="8" customFormat="1" ht="13.5" customHeight="1">
      <c r="A312" s="67"/>
      <c r="B312" s="68"/>
      <c r="C312" s="69"/>
      <c r="D312" s="76" t="s">
        <v>283</v>
      </c>
      <c r="E312" s="69"/>
      <c r="F312" s="77">
        <f>67.89</f>
        <v>67.89</v>
      </c>
      <c r="G312" s="71"/>
      <c r="H312" s="71"/>
      <c r="I312" s="79"/>
      <c r="J312" s="386"/>
      <c r="K312" s="207"/>
      <c r="L312" s="386"/>
      <c r="M312" s="207"/>
      <c r="N312" s="207"/>
      <c r="O312" s="207"/>
      <c r="P312" s="207"/>
      <c r="Q312" s="207"/>
      <c r="R312" s="318"/>
      <c r="S312" s="299"/>
      <c r="T312" s="299"/>
      <c r="U312" s="299"/>
      <c r="V312" s="299"/>
      <c r="W312" s="207"/>
      <c r="X312" s="207"/>
      <c r="Y312" s="207"/>
      <c r="Z312" s="207"/>
      <c r="AA312" s="207"/>
      <c r="AB312" s="207"/>
      <c r="AC312" s="207"/>
      <c r="AD312" s="207"/>
      <c r="AE312" s="207"/>
      <c r="AF312" s="207"/>
      <c r="AG312" s="207"/>
      <c r="AH312" s="207"/>
      <c r="AI312" s="207"/>
      <c r="AJ312" s="207"/>
      <c r="AK312" s="207"/>
      <c r="AL312" s="207"/>
      <c r="AM312" s="207"/>
      <c r="AN312" s="207"/>
      <c r="AO312" s="207"/>
      <c r="AP312" s="207"/>
      <c r="AQ312" s="207"/>
      <c r="AR312" s="207"/>
      <c r="AS312" s="73"/>
      <c r="AT312" s="73"/>
      <c r="AU312" s="73"/>
      <c r="AV312" s="73"/>
      <c r="AW312" s="73"/>
      <c r="AX312" s="73"/>
      <c r="AY312" s="73"/>
      <c r="AZ312" s="73"/>
      <c r="BA312" s="73"/>
      <c r="BB312" s="73"/>
      <c r="BC312" s="73"/>
      <c r="BD312" s="73"/>
      <c r="BE312" s="73"/>
      <c r="BF312" s="73"/>
      <c r="BG312" s="73"/>
      <c r="BH312" s="73"/>
      <c r="BI312" s="73"/>
      <c r="BJ312" s="73"/>
      <c r="BK312" s="73"/>
      <c r="BL312" s="73"/>
      <c r="BM312" s="73"/>
      <c r="BN312" s="73"/>
      <c r="BO312" s="73"/>
      <c r="BP312" s="73"/>
      <c r="BQ312" s="73"/>
      <c r="BR312" s="73"/>
      <c r="BS312" s="73"/>
      <c r="BT312" s="73"/>
      <c r="BU312" s="73"/>
      <c r="BV312" s="73"/>
      <c r="BW312" s="73"/>
      <c r="BX312" s="73"/>
      <c r="BY312" s="73"/>
      <c r="BZ312" s="73"/>
      <c r="CA312" s="73"/>
      <c r="CB312" s="73"/>
      <c r="CC312" s="73"/>
      <c r="CD312" s="73"/>
      <c r="CE312" s="73"/>
      <c r="CF312" s="73"/>
      <c r="CG312" s="73"/>
      <c r="CH312" s="73"/>
      <c r="CI312" s="73"/>
      <c r="CJ312" s="73"/>
      <c r="CK312" s="73"/>
      <c r="CL312" s="73"/>
      <c r="CM312" s="73"/>
      <c r="CN312" s="73"/>
      <c r="CO312" s="73"/>
      <c r="CP312" s="73"/>
      <c r="CQ312" s="73"/>
      <c r="CR312" s="73"/>
      <c r="CS312" s="73"/>
      <c r="CT312" s="73"/>
      <c r="CU312" s="73"/>
      <c r="CV312" s="73"/>
      <c r="CW312" s="73"/>
    </row>
    <row r="313" spans="1:144" s="8" customFormat="1" ht="13.5" customHeight="1">
      <c r="A313" s="67"/>
      <c r="B313" s="68"/>
      <c r="C313" s="69"/>
      <c r="D313" s="76" t="s">
        <v>284</v>
      </c>
      <c r="E313" s="69"/>
      <c r="F313" s="77">
        <f>12.34</f>
        <v>12.34</v>
      </c>
      <c r="G313" s="71"/>
      <c r="H313" s="71"/>
      <c r="I313" s="79"/>
      <c r="J313" s="386"/>
      <c r="K313" s="207"/>
      <c r="L313" s="386"/>
      <c r="M313" s="207"/>
      <c r="N313" s="207"/>
      <c r="O313" s="207"/>
      <c r="P313" s="207"/>
      <c r="Q313" s="207"/>
      <c r="R313" s="318"/>
      <c r="S313" s="299"/>
      <c r="T313" s="299"/>
      <c r="U313" s="299"/>
      <c r="V313" s="299"/>
      <c r="W313" s="207"/>
      <c r="X313" s="207"/>
      <c r="Y313" s="207"/>
      <c r="Z313" s="207"/>
      <c r="AA313" s="207"/>
      <c r="AB313" s="207"/>
      <c r="AC313" s="207"/>
      <c r="AD313" s="207"/>
      <c r="AE313" s="207"/>
      <c r="AF313" s="207"/>
      <c r="AG313" s="207"/>
      <c r="AH313" s="207"/>
      <c r="AI313" s="207"/>
      <c r="AJ313" s="207"/>
      <c r="AK313" s="207"/>
      <c r="AL313" s="207"/>
      <c r="AM313" s="207"/>
      <c r="AN313" s="207"/>
      <c r="AO313" s="207"/>
      <c r="AP313" s="207"/>
      <c r="AQ313" s="207"/>
      <c r="AR313" s="207"/>
      <c r="AS313" s="73"/>
      <c r="AT313" s="73"/>
      <c r="AU313" s="73"/>
      <c r="AV313" s="73"/>
      <c r="AW313" s="73"/>
      <c r="AX313" s="73"/>
      <c r="AY313" s="73"/>
      <c r="AZ313" s="73"/>
      <c r="BA313" s="73"/>
      <c r="BB313" s="73"/>
      <c r="BC313" s="73"/>
      <c r="BD313" s="73"/>
      <c r="BE313" s="73"/>
      <c r="BF313" s="73"/>
      <c r="BG313" s="73"/>
      <c r="BH313" s="73"/>
      <c r="BI313" s="73"/>
      <c r="BJ313" s="73"/>
      <c r="BK313" s="73"/>
      <c r="BL313" s="73"/>
      <c r="BM313" s="73"/>
      <c r="BN313" s="73"/>
      <c r="BO313" s="73"/>
      <c r="BP313" s="73"/>
      <c r="BQ313" s="73"/>
      <c r="BR313" s="73"/>
      <c r="BS313" s="73"/>
      <c r="BT313" s="73"/>
      <c r="BU313" s="73"/>
      <c r="BV313" s="73"/>
      <c r="BW313" s="73"/>
      <c r="BX313" s="73"/>
      <c r="BY313" s="73"/>
      <c r="BZ313" s="73"/>
      <c r="CA313" s="73"/>
      <c r="CB313" s="73"/>
      <c r="CC313" s="73"/>
      <c r="CD313" s="73"/>
      <c r="CE313" s="73"/>
      <c r="CF313" s="73"/>
      <c r="CG313" s="73"/>
      <c r="CH313" s="73"/>
      <c r="CI313" s="73"/>
      <c r="CJ313" s="73"/>
      <c r="CK313" s="73"/>
      <c r="CL313" s="73"/>
      <c r="CM313" s="73"/>
      <c r="CN313" s="73"/>
      <c r="CO313" s="73"/>
      <c r="CP313" s="73"/>
      <c r="CQ313" s="73"/>
      <c r="CR313" s="73"/>
      <c r="CS313" s="73"/>
      <c r="CT313" s="73"/>
      <c r="CU313" s="73"/>
      <c r="CV313" s="73"/>
      <c r="CW313" s="73"/>
    </row>
    <row r="314" spans="1:144" s="8" customFormat="1" ht="40.5" customHeight="1">
      <c r="A314" s="67"/>
      <c r="B314" s="68"/>
      <c r="C314" s="69"/>
      <c r="D314" s="76" t="s">
        <v>378</v>
      </c>
      <c r="E314" s="69"/>
      <c r="F314" s="270"/>
      <c r="G314" s="71"/>
      <c r="H314" s="71"/>
      <c r="I314" s="79"/>
      <c r="J314" s="318"/>
      <c r="K314" s="207"/>
      <c r="L314" s="207"/>
      <c r="M314" s="207"/>
      <c r="N314" s="207"/>
      <c r="O314" s="207"/>
      <c r="P314" s="207"/>
      <c r="Q314" s="207"/>
      <c r="R314" s="207"/>
      <c r="S314" s="207"/>
      <c r="T314" s="207"/>
      <c r="U314" s="207"/>
      <c r="V314" s="207"/>
      <c r="W314" s="207"/>
      <c r="X314" s="207"/>
      <c r="Y314" s="207"/>
      <c r="Z314" s="207"/>
      <c r="AA314" s="207"/>
      <c r="AB314" s="207"/>
      <c r="AC314" s="207"/>
      <c r="AD314" s="207"/>
      <c r="AE314" s="207"/>
      <c r="AF314" s="207"/>
      <c r="AG314" s="207"/>
      <c r="AH314" s="207"/>
      <c r="AI314" s="207"/>
      <c r="AJ314" s="207"/>
      <c r="AK314" s="207"/>
      <c r="AL314" s="207"/>
      <c r="AM314" s="207"/>
      <c r="AN314" s="207"/>
      <c r="AO314" s="207"/>
      <c r="AP314" s="207"/>
      <c r="AQ314" s="207"/>
      <c r="AR314" s="207"/>
      <c r="AS314" s="73"/>
      <c r="AT314" s="73"/>
      <c r="AU314" s="73"/>
      <c r="AV314" s="73"/>
      <c r="AW314" s="73"/>
      <c r="AX314" s="73"/>
      <c r="AY314" s="73"/>
      <c r="AZ314" s="73"/>
      <c r="BA314" s="73"/>
      <c r="BB314" s="73"/>
      <c r="BC314" s="73"/>
      <c r="BD314" s="73"/>
      <c r="BE314" s="73"/>
      <c r="BF314" s="73"/>
      <c r="BG314" s="73"/>
      <c r="BH314" s="73"/>
      <c r="BI314" s="73"/>
      <c r="BJ314" s="73"/>
      <c r="BK314" s="73"/>
      <c r="BL314" s="73"/>
      <c r="BM314" s="73"/>
      <c r="BN314" s="73"/>
      <c r="BO314" s="73"/>
      <c r="BP314" s="73"/>
      <c r="BQ314" s="73"/>
      <c r="BR314" s="73"/>
      <c r="BS314" s="73"/>
      <c r="BT314" s="73"/>
      <c r="BU314" s="73"/>
      <c r="BV314" s="73"/>
      <c r="BW314" s="73"/>
      <c r="BX314" s="73"/>
      <c r="BY314" s="73"/>
      <c r="BZ314" s="73"/>
      <c r="CA314" s="73"/>
      <c r="CB314" s="73"/>
      <c r="CC314" s="73"/>
      <c r="CD314" s="73"/>
      <c r="CE314" s="73"/>
      <c r="CF314" s="73"/>
      <c r="CG314" s="73"/>
      <c r="CH314" s="73"/>
      <c r="CI314" s="73"/>
      <c r="CJ314" s="73"/>
      <c r="CK314" s="73"/>
      <c r="CL314" s="73"/>
      <c r="CM314" s="73"/>
      <c r="CN314" s="73"/>
      <c r="CO314" s="73"/>
      <c r="CP314" s="73"/>
      <c r="CQ314" s="73"/>
      <c r="CR314" s="73"/>
      <c r="CS314" s="73"/>
      <c r="CT314" s="73"/>
      <c r="CU314" s="73"/>
      <c r="CV314" s="73"/>
      <c r="CW314" s="73"/>
    </row>
    <row r="315" spans="1:144" s="8" customFormat="1" ht="13.5" customHeight="1">
      <c r="A315" s="67">
        <v>60</v>
      </c>
      <c r="B315" s="69" t="s">
        <v>277</v>
      </c>
      <c r="C315" s="69" t="s">
        <v>348</v>
      </c>
      <c r="D315" s="69" t="s">
        <v>287</v>
      </c>
      <c r="E315" s="69" t="s">
        <v>30</v>
      </c>
      <c r="F315" s="100">
        <f>SUM(F317)</f>
        <v>1.2</v>
      </c>
      <c r="G315" s="108"/>
      <c r="H315" s="71">
        <f>F315*G315</f>
        <v>0</v>
      </c>
      <c r="I315" s="101" t="s">
        <v>39</v>
      </c>
      <c r="J315" s="322"/>
      <c r="K315" s="326"/>
      <c r="L315" s="326"/>
      <c r="M315" s="326"/>
      <c r="N315" s="326"/>
      <c r="O315" s="326"/>
      <c r="P315" s="326"/>
      <c r="Q315" s="211"/>
      <c r="R315" s="327"/>
      <c r="S315" s="207"/>
      <c r="T315" s="207"/>
      <c r="U315" s="207"/>
      <c r="V315" s="207"/>
      <c r="W315" s="207"/>
      <c r="X315" s="207"/>
      <c r="Y315" s="207"/>
      <c r="Z315" s="207"/>
      <c r="AA315" s="207"/>
      <c r="AB315" s="207"/>
      <c r="AC315" s="207"/>
      <c r="AD315" s="207"/>
      <c r="AE315" s="207"/>
      <c r="AF315" s="207"/>
      <c r="AG315" s="207"/>
      <c r="AH315" s="207"/>
      <c r="AI315" s="207"/>
      <c r="AJ315" s="207"/>
      <c r="AK315" s="207"/>
      <c r="AL315" s="207"/>
      <c r="AM315" s="207"/>
      <c r="AN315" s="207"/>
      <c r="AO315" s="207"/>
      <c r="AP315" s="207"/>
      <c r="AQ315" s="207"/>
      <c r="AR315" s="207"/>
      <c r="AS315" s="73"/>
      <c r="AT315" s="73"/>
      <c r="AU315" s="73"/>
      <c r="AV315" s="73"/>
      <c r="AW315" s="73"/>
      <c r="AX315" s="73"/>
      <c r="AY315" s="73"/>
      <c r="AZ315" s="73"/>
      <c r="BA315" s="73"/>
      <c r="BB315" s="73"/>
      <c r="BC315" s="73"/>
      <c r="BD315" s="73"/>
      <c r="BE315" s="73"/>
      <c r="BF315" s="73"/>
      <c r="BG315" s="73"/>
      <c r="BH315" s="73"/>
      <c r="BI315" s="73"/>
      <c r="BJ315" s="73"/>
      <c r="BK315" s="73"/>
      <c r="BL315" s="73"/>
      <c r="BM315" s="73"/>
      <c r="BN315" s="73"/>
      <c r="BO315" s="73"/>
      <c r="BP315" s="73"/>
      <c r="BQ315" s="73"/>
      <c r="BR315" s="73"/>
      <c r="BS315" s="73"/>
      <c r="BT315" s="73"/>
      <c r="BU315" s="73"/>
      <c r="BV315" s="73"/>
      <c r="BW315" s="73"/>
      <c r="BX315" s="73"/>
      <c r="BY315" s="73"/>
      <c r="BZ315" s="73"/>
      <c r="CA315" s="73"/>
      <c r="CB315" s="73"/>
      <c r="CC315" s="73"/>
      <c r="CD315" s="73"/>
      <c r="CE315" s="73"/>
      <c r="CF315" s="73"/>
      <c r="CG315" s="73"/>
      <c r="CH315" s="73"/>
      <c r="CI315" s="73"/>
      <c r="CJ315" s="73"/>
      <c r="CK315" s="73"/>
      <c r="CL315" s="73"/>
      <c r="CM315" s="73"/>
      <c r="CN315" s="73"/>
      <c r="CO315" s="73"/>
      <c r="CP315" s="73"/>
      <c r="CQ315" s="73"/>
      <c r="CR315" s="73"/>
      <c r="CS315" s="73"/>
      <c r="CT315" s="73"/>
      <c r="CU315" s="73"/>
      <c r="CV315" s="73"/>
      <c r="CW315" s="73"/>
    </row>
    <row r="316" spans="1:144" s="8" customFormat="1" ht="13.5" customHeight="1">
      <c r="A316" s="67"/>
      <c r="B316" s="68"/>
      <c r="C316" s="69"/>
      <c r="D316" s="76" t="s">
        <v>288</v>
      </c>
      <c r="E316" s="69"/>
      <c r="F316" s="77"/>
      <c r="G316" s="71"/>
      <c r="H316" s="71"/>
      <c r="I316" s="79"/>
      <c r="J316" s="386"/>
      <c r="K316" s="207"/>
      <c r="L316" s="386"/>
      <c r="M316" s="207"/>
      <c r="N316" s="207"/>
      <c r="O316" s="207"/>
      <c r="P316" s="207"/>
      <c r="Q316" s="207"/>
      <c r="R316" s="318"/>
      <c r="S316" s="299"/>
      <c r="T316" s="299"/>
      <c r="U316" s="299"/>
      <c r="V316" s="299"/>
      <c r="W316" s="207"/>
      <c r="X316" s="207"/>
      <c r="Y316" s="207"/>
      <c r="Z316" s="207"/>
      <c r="AA316" s="207"/>
      <c r="AB316" s="207"/>
      <c r="AC316" s="207"/>
      <c r="AD316" s="207"/>
      <c r="AE316" s="207"/>
      <c r="AF316" s="207"/>
      <c r="AG316" s="207"/>
      <c r="AH316" s="207"/>
      <c r="AI316" s="207"/>
      <c r="AJ316" s="207"/>
      <c r="AK316" s="207"/>
      <c r="AL316" s="207"/>
      <c r="AM316" s="207"/>
      <c r="AN316" s="207"/>
      <c r="AO316" s="207"/>
      <c r="AP316" s="207"/>
      <c r="AQ316" s="207"/>
      <c r="AR316" s="207"/>
      <c r="AS316" s="73"/>
      <c r="AT316" s="73"/>
      <c r="AU316" s="73"/>
      <c r="AV316" s="73"/>
      <c r="AW316" s="73"/>
      <c r="AX316" s="73"/>
      <c r="AY316" s="73"/>
      <c r="AZ316" s="73"/>
      <c r="BA316" s="73"/>
      <c r="BB316" s="73"/>
      <c r="BC316" s="73"/>
      <c r="BD316" s="73"/>
      <c r="BE316" s="73"/>
      <c r="BF316" s="73"/>
      <c r="BG316" s="73"/>
      <c r="BH316" s="73"/>
      <c r="BI316" s="73"/>
      <c r="BJ316" s="73"/>
      <c r="BK316" s="73"/>
      <c r="BL316" s="73"/>
      <c r="BM316" s="73"/>
      <c r="BN316" s="73"/>
      <c r="BO316" s="73"/>
      <c r="BP316" s="73"/>
      <c r="BQ316" s="73"/>
      <c r="BR316" s="73"/>
      <c r="BS316" s="73"/>
      <c r="BT316" s="73"/>
      <c r="BU316" s="73"/>
      <c r="BV316" s="73"/>
      <c r="BW316" s="73"/>
      <c r="BX316" s="73"/>
      <c r="BY316" s="73"/>
      <c r="BZ316" s="73"/>
      <c r="CA316" s="73"/>
      <c r="CB316" s="73"/>
      <c r="CC316" s="73"/>
      <c r="CD316" s="73"/>
      <c r="CE316" s="73"/>
      <c r="CF316" s="73"/>
      <c r="CG316" s="73"/>
      <c r="CH316" s="73"/>
      <c r="CI316" s="73"/>
      <c r="CJ316" s="73"/>
      <c r="CK316" s="73"/>
      <c r="CL316" s="73"/>
      <c r="CM316" s="73"/>
      <c r="CN316" s="73"/>
      <c r="CO316" s="73"/>
      <c r="CP316" s="73"/>
      <c r="CQ316" s="73"/>
      <c r="CR316" s="73"/>
      <c r="CS316" s="73"/>
      <c r="CT316" s="73"/>
      <c r="CU316" s="73"/>
      <c r="CV316" s="73"/>
      <c r="CW316" s="73"/>
    </row>
    <row r="317" spans="1:144" s="8" customFormat="1" ht="13.5" customHeight="1">
      <c r="A317" s="67"/>
      <c r="B317" s="68"/>
      <c r="C317" s="69"/>
      <c r="D317" s="76" t="s">
        <v>450</v>
      </c>
      <c r="E317" s="69"/>
      <c r="F317" s="77">
        <f>(1)*1.2</f>
        <v>1.2</v>
      </c>
      <c r="G317" s="71"/>
      <c r="H317" s="71"/>
      <c r="I317" s="79"/>
      <c r="J317" s="386"/>
      <c r="K317" s="207"/>
      <c r="L317" s="386"/>
      <c r="M317" s="207"/>
      <c r="N317" s="207"/>
      <c r="O317" s="207"/>
      <c r="P317" s="207"/>
      <c r="Q317" s="207"/>
      <c r="R317" s="318"/>
      <c r="S317" s="299"/>
      <c r="T317" s="299"/>
      <c r="U317" s="299"/>
      <c r="V317" s="299"/>
      <c r="W317" s="207"/>
      <c r="X317" s="207"/>
      <c r="Y317" s="207"/>
      <c r="Z317" s="207"/>
      <c r="AA317" s="207"/>
      <c r="AB317" s="207"/>
      <c r="AC317" s="207"/>
      <c r="AD317" s="207"/>
      <c r="AE317" s="207"/>
      <c r="AF317" s="207"/>
      <c r="AG317" s="207"/>
      <c r="AH317" s="207"/>
      <c r="AI317" s="207"/>
      <c r="AJ317" s="207"/>
      <c r="AK317" s="207"/>
      <c r="AL317" s="207"/>
      <c r="AM317" s="207"/>
      <c r="AN317" s="207"/>
      <c r="AO317" s="207"/>
      <c r="AP317" s="207"/>
      <c r="AQ317" s="207"/>
      <c r="AR317" s="207"/>
      <c r="AS317" s="73"/>
      <c r="AT317" s="73"/>
      <c r="AU317" s="73"/>
      <c r="AV317" s="73"/>
      <c r="AW317" s="73"/>
      <c r="AX317" s="73"/>
      <c r="AY317" s="73"/>
      <c r="AZ317" s="73"/>
      <c r="BA317" s="73"/>
      <c r="BB317" s="73"/>
      <c r="BC317" s="73"/>
      <c r="BD317" s="73"/>
      <c r="BE317" s="73"/>
      <c r="BF317" s="73"/>
      <c r="BG317" s="73"/>
      <c r="BH317" s="73"/>
      <c r="BI317" s="73"/>
      <c r="BJ317" s="73"/>
      <c r="BK317" s="73"/>
      <c r="BL317" s="73"/>
      <c r="BM317" s="73"/>
      <c r="BN317" s="73"/>
      <c r="BO317" s="73"/>
      <c r="BP317" s="73"/>
      <c r="BQ317" s="73"/>
      <c r="BR317" s="73"/>
      <c r="BS317" s="73"/>
      <c r="BT317" s="73"/>
      <c r="BU317" s="73"/>
      <c r="BV317" s="73"/>
      <c r="BW317" s="73"/>
      <c r="BX317" s="73"/>
      <c r="BY317" s="73"/>
      <c r="BZ317" s="73"/>
      <c r="CA317" s="73"/>
      <c r="CB317" s="73"/>
      <c r="CC317" s="73"/>
      <c r="CD317" s="73"/>
      <c r="CE317" s="73"/>
      <c r="CF317" s="73"/>
      <c r="CG317" s="73"/>
      <c r="CH317" s="73"/>
      <c r="CI317" s="73"/>
      <c r="CJ317" s="73"/>
      <c r="CK317" s="73"/>
      <c r="CL317" s="73"/>
      <c r="CM317" s="73"/>
      <c r="CN317" s="73"/>
      <c r="CO317" s="73"/>
      <c r="CP317" s="73"/>
      <c r="CQ317" s="73"/>
      <c r="CR317" s="73"/>
      <c r="CS317" s="73"/>
      <c r="CT317" s="73"/>
      <c r="CU317" s="73"/>
      <c r="CV317" s="73"/>
      <c r="CW317" s="73"/>
    </row>
    <row r="318" spans="1:144" s="8" customFormat="1" ht="40.5" customHeight="1">
      <c r="A318" s="67"/>
      <c r="B318" s="68"/>
      <c r="C318" s="69"/>
      <c r="D318" s="76" t="s">
        <v>378</v>
      </c>
      <c r="E318" s="69"/>
      <c r="F318" s="270"/>
      <c r="G318" s="71"/>
      <c r="H318" s="71"/>
      <c r="I318" s="79"/>
      <c r="J318" s="318"/>
      <c r="K318" s="207"/>
      <c r="L318" s="207"/>
      <c r="M318" s="207"/>
      <c r="N318" s="207"/>
      <c r="O318" s="207"/>
      <c r="P318" s="207"/>
      <c r="Q318" s="207"/>
      <c r="R318" s="207"/>
      <c r="S318" s="207"/>
      <c r="T318" s="207"/>
      <c r="U318" s="207"/>
      <c r="V318" s="207"/>
      <c r="W318" s="207"/>
      <c r="X318" s="207"/>
      <c r="Y318" s="207"/>
      <c r="Z318" s="207"/>
      <c r="AA318" s="207"/>
      <c r="AB318" s="207"/>
      <c r="AC318" s="207"/>
      <c r="AD318" s="207"/>
      <c r="AE318" s="207"/>
      <c r="AF318" s="207"/>
      <c r="AG318" s="207"/>
      <c r="AH318" s="207"/>
      <c r="AI318" s="207"/>
      <c r="AJ318" s="207"/>
      <c r="AK318" s="207"/>
      <c r="AL318" s="207"/>
      <c r="AM318" s="207"/>
      <c r="AN318" s="207"/>
      <c r="AO318" s="207"/>
      <c r="AP318" s="207"/>
      <c r="AQ318" s="207"/>
      <c r="AR318" s="207"/>
      <c r="AS318" s="73"/>
      <c r="AT318" s="73"/>
      <c r="AU318" s="73"/>
      <c r="AV318" s="73"/>
      <c r="AW318" s="73"/>
      <c r="AX318" s="73"/>
      <c r="AY318" s="73"/>
      <c r="AZ318" s="73"/>
      <c r="BA318" s="73"/>
      <c r="BB318" s="73"/>
      <c r="BC318" s="73"/>
      <c r="BD318" s="73"/>
      <c r="BE318" s="73"/>
      <c r="BF318" s="73"/>
      <c r="BG318" s="73"/>
      <c r="BH318" s="73"/>
      <c r="BI318" s="73"/>
      <c r="BJ318" s="73"/>
      <c r="BK318" s="73"/>
      <c r="BL318" s="73"/>
      <c r="BM318" s="73"/>
      <c r="BN318" s="73"/>
      <c r="BO318" s="73"/>
      <c r="BP318" s="73"/>
      <c r="BQ318" s="73"/>
      <c r="BR318" s="73"/>
      <c r="BS318" s="73"/>
      <c r="BT318" s="73"/>
      <c r="BU318" s="73"/>
      <c r="BV318" s="73"/>
      <c r="BW318" s="73"/>
      <c r="BX318" s="73"/>
      <c r="BY318" s="73"/>
      <c r="BZ318" s="73"/>
      <c r="CA318" s="73"/>
      <c r="CB318" s="73"/>
      <c r="CC318" s="73"/>
      <c r="CD318" s="73"/>
      <c r="CE318" s="73"/>
      <c r="CF318" s="73"/>
      <c r="CG318" s="73"/>
      <c r="CH318" s="73"/>
      <c r="CI318" s="73"/>
      <c r="CJ318" s="73"/>
      <c r="CK318" s="73"/>
      <c r="CL318" s="73"/>
      <c r="CM318" s="73"/>
      <c r="CN318" s="73"/>
      <c r="CO318" s="73"/>
      <c r="CP318" s="73"/>
      <c r="CQ318" s="73"/>
      <c r="CR318" s="73"/>
      <c r="CS318" s="73"/>
      <c r="CT318" s="73"/>
      <c r="CU318" s="73"/>
      <c r="CV318" s="73"/>
      <c r="CW318" s="73"/>
    </row>
    <row r="319" spans="1:144" s="214" customFormat="1" ht="13.5" customHeight="1">
      <c r="A319" s="340">
        <v>61</v>
      </c>
      <c r="B319" s="335" t="s">
        <v>277</v>
      </c>
      <c r="C319" s="335">
        <v>781111011</v>
      </c>
      <c r="D319" s="335" t="s">
        <v>345</v>
      </c>
      <c r="E319" s="335" t="s">
        <v>30</v>
      </c>
      <c r="F319" s="337">
        <f>SUM(F320)</f>
        <v>501.32</v>
      </c>
      <c r="G319" s="304"/>
      <c r="H319" s="304">
        <f>F319*G319</f>
        <v>0</v>
      </c>
      <c r="I319" s="218" t="s">
        <v>31</v>
      </c>
      <c r="J319" s="329"/>
      <c r="K319" s="310"/>
      <c r="L319" s="298"/>
      <c r="M319" s="299"/>
      <c r="N319" s="300"/>
      <c r="O319" s="311"/>
      <c r="P319" s="207"/>
      <c r="Q319" s="207"/>
      <c r="R319" s="302"/>
      <c r="S319" s="207"/>
      <c r="T319" s="207"/>
      <c r="U319" s="207"/>
      <c r="V319" s="207"/>
      <c r="W319" s="207"/>
      <c r="X319" s="207"/>
      <c r="Y319" s="207"/>
      <c r="Z319" s="207"/>
      <c r="AA319" s="207"/>
      <c r="AB319" s="207"/>
      <c r="AC319" s="207"/>
      <c r="AD319" s="207"/>
      <c r="AE319" s="207"/>
      <c r="AF319" s="207"/>
      <c r="AG319" s="207"/>
      <c r="AH319" s="207"/>
      <c r="AI319" s="207"/>
      <c r="AJ319" s="207"/>
      <c r="AK319" s="207"/>
      <c r="AL319" s="207"/>
      <c r="AM319" s="207"/>
      <c r="AN319" s="207"/>
      <c r="AO319" s="207"/>
      <c r="AP319" s="207"/>
      <c r="AQ319" s="207"/>
      <c r="AR319" s="207"/>
      <c r="AS319" s="207"/>
      <c r="AT319" s="207"/>
      <c r="AU319" s="207"/>
      <c r="AV319" s="207"/>
      <c r="AW319" s="207"/>
      <c r="AX319" s="207"/>
      <c r="AY319" s="207"/>
      <c r="AZ319" s="207"/>
      <c r="BA319" s="207"/>
      <c r="BB319" s="207"/>
      <c r="BC319" s="207"/>
      <c r="BD319" s="207"/>
      <c r="BE319" s="207"/>
      <c r="BF319" s="207"/>
      <c r="BG319" s="207"/>
      <c r="BH319" s="207"/>
      <c r="BI319" s="207"/>
      <c r="BJ319" s="207"/>
      <c r="BK319" s="207"/>
      <c r="BL319" s="207"/>
      <c r="BM319" s="207"/>
      <c r="BN319" s="207"/>
      <c r="BO319" s="207"/>
      <c r="BP319" s="207"/>
      <c r="BQ319" s="207"/>
      <c r="BR319" s="207"/>
      <c r="BS319" s="207"/>
      <c r="BT319" s="207"/>
      <c r="BU319" s="207"/>
      <c r="BV319" s="207"/>
      <c r="BW319" s="207"/>
      <c r="BX319" s="207"/>
      <c r="BY319" s="207"/>
      <c r="BZ319" s="207"/>
      <c r="CA319" s="207"/>
      <c r="CB319" s="207"/>
      <c r="CC319" s="207"/>
      <c r="CD319" s="207"/>
      <c r="CE319" s="207"/>
      <c r="CF319" s="207"/>
      <c r="CG319" s="207"/>
      <c r="CH319" s="207"/>
      <c r="CI319" s="207"/>
      <c r="CJ319" s="207"/>
      <c r="CK319" s="207"/>
      <c r="CL319" s="207"/>
      <c r="CM319" s="207"/>
      <c r="CN319" s="207"/>
      <c r="CO319" s="207"/>
      <c r="CP319" s="207"/>
      <c r="CQ319" s="207"/>
      <c r="CR319" s="207"/>
      <c r="CS319" s="207"/>
      <c r="CT319" s="207"/>
      <c r="CU319" s="207"/>
      <c r="CV319" s="207"/>
      <c r="CW319" s="207"/>
      <c r="CX319" s="207"/>
      <c r="CY319" s="207"/>
      <c r="CZ319" s="207"/>
      <c r="DA319" s="207"/>
      <c r="DB319" s="207"/>
      <c r="DC319" s="207"/>
      <c r="DD319" s="207"/>
      <c r="DE319" s="207"/>
      <c r="DF319" s="207"/>
      <c r="DG319" s="207"/>
      <c r="DH319" s="207"/>
      <c r="DI319" s="207"/>
      <c r="DJ319" s="207"/>
      <c r="DK319" s="207"/>
      <c r="DL319" s="207"/>
      <c r="DM319" s="207"/>
      <c r="DN319" s="207"/>
      <c r="DO319" s="207"/>
      <c r="DP319" s="207"/>
      <c r="DQ319" s="207"/>
      <c r="DR319" s="207"/>
      <c r="DS319" s="207"/>
      <c r="DT319" s="207"/>
      <c r="DU319" s="207"/>
      <c r="DV319" s="207"/>
      <c r="DW319" s="207"/>
      <c r="DX319" s="207"/>
      <c r="DY319" s="207"/>
      <c r="DZ319" s="207"/>
      <c r="EA319" s="207"/>
      <c r="EB319" s="207"/>
      <c r="EC319" s="207"/>
      <c r="ED319" s="207"/>
      <c r="EE319" s="207"/>
      <c r="EF319" s="207"/>
      <c r="EG319" s="207"/>
      <c r="EH319" s="207"/>
      <c r="EI319" s="207"/>
      <c r="EJ319" s="207"/>
      <c r="EK319" s="207"/>
      <c r="EL319" s="207"/>
      <c r="EM319" s="207"/>
      <c r="EN319" s="207"/>
    </row>
    <row r="320" spans="1:144" s="214" customFormat="1" ht="13.5" customHeight="1">
      <c r="A320" s="340"/>
      <c r="B320" s="335"/>
      <c r="C320" s="335"/>
      <c r="D320" s="336" t="s">
        <v>346</v>
      </c>
      <c r="E320" s="335"/>
      <c r="F320" s="341">
        <f>(500.32+1)</f>
        <v>501.32</v>
      </c>
      <c r="G320" s="304"/>
      <c r="H320" s="304"/>
      <c r="I320" s="218"/>
      <c r="J320" s="329"/>
      <c r="K320" s="310"/>
      <c r="L320" s="298"/>
      <c r="M320" s="299"/>
      <c r="N320" s="300"/>
      <c r="O320" s="311"/>
      <c r="P320" s="207"/>
      <c r="Q320" s="207"/>
      <c r="R320" s="302"/>
      <c r="S320" s="207"/>
      <c r="T320" s="207"/>
      <c r="U320" s="207"/>
      <c r="V320" s="207"/>
      <c r="W320" s="207"/>
      <c r="X320" s="207"/>
      <c r="Y320" s="207"/>
      <c r="Z320" s="207"/>
      <c r="AA320" s="207"/>
      <c r="AB320" s="207"/>
      <c r="AC320" s="207"/>
      <c r="AD320" s="207"/>
      <c r="AE320" s="207"/>
      <c r="AF320" s="207"/>
      <c r="AG320" s="207"/>
      <c r="AH320" s="207"/>
      <c r="AI320" s="207"/>
      <c r="AJ320" s="207"/>
      <c r="AK320" s="207"/>
      <c r="AL320" s="207"/>
      <c r="AM320" s="207"/>
      <c r="AN320" s="207"/>
      <c r="AO320" s="207"/>
      <c r="AP320" s="207"/>
      <c r="AQ320" s="207"/>
      <c r="AR320" s="207"/>
      <c r="AS320" s="207"/>
      <c r="AT320" s="207"/>
      <c r="AU320" s="207"/>
      <c r="AV320" s="207"/>
      <c r="AW320" s="207"/>
      <c r="AX320" s="207"/>
      <c r="AY320" s="207"/>
      <c r="AZ320" s="207"/>
      <c r="BA320" s="207"/>
      <c r="BB320" s="207"/>
      <c r="BC320" s="207"/>
      <c r="BD320" s="207"/>
      <c r="BE320" s="207"/>
      <c r="BF320" s="207"/>
      <c r="BG320" s="207"/>
      <c r="BH320" s="207"/>
      <c r="BI320" s="207"/>
      <c r="BJ320" s="207"/>
      <c r="BK320" s="207"/>
      <c r="BL320" s="207"/>
      <c r="BM320" s="207"/>
      <c r="BN320" s="207"/>
      <c r="BO320" s="207"/>
      <c r="BP320" s="207"/>
      <c r="BQ320" s="207"/>
      <c r="BR320" s="207"/>
      <c r="BS320" s="207"/>
      <c r="BT320" s="207"/>
      <c r="BU320" s="207"/>
      <c r="BV320" s="207"/>
      <c r="BW320" s="207"/>
      <c r="BX320" s="207"/>
      <c r="BY320" s="207"/>
      <c r="BZ320" s="207"/>
      <c r="CA320" s="207"/>
      <c r="CB320" s="207"/>
      <c r="CC320" s="207"/>
      <c r="CD320" s="207"/>
      <c r="CE320" s="207"/>
      <c r="CF320" s="207"/>
      <c r="CG320" s="207"/>
      <c r="CH320" s="207"/>
      <c r="CI320" s="207"/>
      <c r="CJ320" s="207"/>
      <c r="CK320" s="207"/>
      <c r="CL320" s="207"/>
      <c r="CM320" s="207"/>
      <c r="CN320" s="207"/>
      <c r="CO320" s="207"/>
      <c r="CP320" s="207"/>
      <c r="CQ320" s="207"/>
      <c r="CR320" s="207"/>
      <c r="CS320" s="207"/>
      <c r="CT320" s="207"/>
      <c r="CU320" s="207"/>
      <c r="CV320" s="207"/>
      <c r="CW320" s="207"/>
      <c r="CX320" s="207"/>
      <c r="CY320" s="207"/>
      <c r="CZ320" s="207"/>
      <c r="DA320" s="207"/>
      <c r="DB320" s="207"/>
      <c r="DC320" s="207"/>
      <c r="DD320" s="207"/>
      <c r="DE320" s="207"/>
      <c r="DF320" s="207"/>
      <c r="DG320" s="207"/>
      <c r="DH320" s="207"/>
      <c r="DI320" s="207"/>
      <c r="DJ320" s="207"/>
      <c r="DK320" s="207"/>
      <c r="DL320" s="207"/>
      <c r="DM320" s="207"/>
      <c r="DN320" s="207"/>
      <c r="DO320" s="207"/>
      <c r="DP320" s="207"/>
      <c r="DQ320" s="207"/>
      <c r="DR320" s="207"/>
      <c r="DS320" s="207"/>
      <c r="DT320" s="207"/>
      <c r="DU320" s="207"/>
      <c r="DV320" s="207"/>
      <c r="DW320" s="207"/>
      <c r="DX320" s="207"/>
      <c r="DY320" s="207"/>
      <c r="DZ320" s="207"/>
      <c r="EA320" s="207"/>
      <c r="EB320" s="207"/>
      <c r="EC320" s="207"/>
      <c r="ED320" s="207"/>
      <c r="EE320" s="207"/>
      <c r="EF320" s="207"/>
      <c r="EG320" s="207"/>
      <c r="EH320" s="207"/>
      <c r="EI320" s="207"/>
      <c r="EJ320" s="207"/>
      <c r="EK320" s="207"/>
      <c r="EL320" s="207"/>
      <c r="EM320" s="207"/>
      <c r="EN320" s="207"/>
    </row>
    <row r="321" spans="1:144" s="8" customFormat="1" ht="13.5" customHeight="1">
      <c r="A321" s="67">
        <v>62</v>
      </c>
      <c r="B321" s="69" t="s">
        <v>277</v>
      </c>
      <c r="C321" s="69">
        <v>781121011</v>
      </c>
      <c r="D321" s="69" t="s">
        <v>292</v>
      </c>
      <c r="E321" s="69" t="s">
        <v>30</v>
      </c>
      <c r="F321" s="100">
        <f>F319</f>
        <v>501.32</v>
      </c>
      <c r="G321" s="71"/>
      <c r="H321" s="71">
        <f>F321*G321</f>
        <v>0</v>
      </c>
      <c r="I321" s="101" t="s">
        <v>31</v>
      </c>
      <c r="J321" s="329"/>
      <c r="K321" s="310"/>
      <c r="L321" s="298"/>
      <c r="M321" s="299"/>
      <c r="N321" s="300"/>
      <c r="O321" s="311"/>
      <c r="P321" s="207"/>
      <c r="Q321" s="207"/>
      <c r="R321" s="302"/>
      <c r="S321" s="207"/>
      <c r="T321" s="207"/>
      <c r="U321" s="207"/>
      <c r="V321" s="207"/>
      <c r="W321" s="207"/>
      <c r="X321" s="207"/>
      <c r="Y321" s="207"/>
      <c r="Z321" s="207"/>
      <c r="AA321" s="207"/>
      <c r="AB321" s="207"/>
      <c r="AC321" s="207"/>
      <c r="AD321" s="207"/>
      <c r="AE321" s="207"/>
      <c r="AF321" s="207"/>
      <c r="AG321" s="207"/>
      <c r="AH321" s="207"/>
      <c r="AI321" s="207"/>
      <c r="AJ321" s="207"/>
      <c r="AK321" s="207"/>
      <c r="AL321" s="207"/>
      <c r="AM321" s="207"/>
      <c r="AN321" s="207"/>
      <c r="AO321" s="207"/>
      <c r="AP321" s="207"/>
      <c r="AQ321" s="207"/>
      <c r="AR321" s="207"/>
      <c r="AS321" s="73"/>
      <c r="AT321" s="73"/>
      <c r="AU321" s="73"/>
      <c r="AV321" s="73"/>
      <c r="AW321" s="73"/>
      <c r="AX321" s="73"/>
      <c r="AY321" s="73"/>
      <c r="AZ321" s="73"/>
      <c r="BA321" s="73"/>
      <c r="BB321" s="73"/>
      <c r="BC321" s="73"/>
      <c r="BD321" s="73"/>
      <c r="BE321" s="73"/>
      <c r="BF321" s="73"/>
      <c r="BG321" s="73"/>
      <c r="BH321" s="73"/>
      <c r="BI321" s="73"/>
      <c r="BJ321" s="73"/>
      <c r="BK321" s="73"/>
      <c r="BL321" s="73"/>
      <c r="BM321" s="73"/>
      <c r="BN321" s="73"/>
      <c r="BO321" s="73"/>
      <c r="BP321" s="73"/>
      <c r="BQ321" s="73"/>
      <c r="BR321" s="73"/>
      <c r="BS321" s="73"/>
      <c r="BT321" s="73"/>
      <c r="BU321" s="73"/>
      <c r="BV321" s="73"/>
      <c r="BW321" s="73"/>
      <c r="BX321" s="73"/>
      <c r="BY321" s="73"/>
      <c r="BZ321" s="73"/>
      <c r="CA321" s="73"/>
      <c r="CB321" s="73"/>
      <c r="CC321" s="73"/>
      <c r="CD321" s="73"/>
      <c r="CE321" s="73"/>
      <c r="CF321" s="73"/>
      <c r="CG321" s="73"/>
      <c r="CH321" s="73"/>
      <c r="CI321" s="73"/>
      <c r="CJ321" s="73"/>
      <c r="CK321" s="73"/>
      <c r="CL321" s="73"/>
      <c r="CM321" s="73"/>
      <c r="CN321" s="73"/>
      <c r="CO321" s="73"/>
      <c r="CP321" s="73"/>
      <c r="CQ321" s="73"/>
      <c r="CR321" s="73"/>
      <c r="CS321" s="73"/>
      <c r="CT321" s="73"/>
      <c r="CU321" s="73"/>
      <c r="CV321" s="73"/>
      <c r="CW321" s="73"/>
    </row>
    <row r="322" spans="1:144" s="8" customFormat="1" ht="13.5" customHeight="1">
      <c r="A322" s="67">
        <v>63</v>
      </c>
      <c r="B322" s="69" t="s">
        <v>277</v>
      </c>
      <c r="C322" s="69">
        <v>781131112</v>
      </c>
      <c r="D322" s="69" t="s">
        <v>289</v>
      </c>
      <c r="E322" s="69" t="s">
        <v>30</v>
      </c>
      <c r="F322" s="100">
        <f>SUM(F323)</f>
        <v>501.32</v>
      </c>
      <c r="G322" s="71"/>
      <c r="H322" s="71">
        <f>F322*G322</f>
        <v>0</v>
      </c>
      <c r="I322" s="101" t="s">
        <v>31</v>
      </c>
      <c r="J322" s="329"/>
      <c r="K322" s="310"/>
      <c r="L322" s="298"/>
      <c r="M322" s="299"/>
      <c r="N322" s="300"/>
      <c r="O322" s="311"/>
      <c r="P322" s="207"/>
      <c r="Q322" s="207"/>
      <c r="R322" s="302"/>
      <c r="S322" s="207"/>
      <c r="T322" s="207"/>
      <c r="U322" s="207"/>
      <c r="V322" s="207"/>
      <c r="W322" s="207"/>
      <c r="X322" s="207"/>
      <c r="Y322" s="207"/>
      <c r="Z322" s="207"/>
      <c r="AA322" s="207"/>
      <c r="AB322" s="207"/>
      <c r="AC322" s="207"/>
      <c r="AD322" s="207"/>
      <c r="AE322" s="207"/>
      <c r="AF322" s="207"/>
      <c r="AG322" s="207"/>
      <c r="AH322" s="207"/>
      <c r="AI322" s="207"/>
      <c r="AJ322" s="207"/>
      <c r="AK322" s="207"/>
      <c r="AL322" s="207"/>
      <c r="AM322" s="207"/>
      <c r="AN322" s="207"/>
      <c r="AO322" s="207"/>
      <c r="AP322" s="207"/>
      <c r="AQ322" s="207"/>
      <c r="AR322" s="207"/>
      <c r="AS322" s="73"/>
      <c r="AT322" s="73"/>
      <c r="AU322" s="73"/>
      <c r="AV322" s="73"/>
      <c r="AW322" s="73"/>
      <c r="AX322" s="73"/>
      <c r="AY322" s="73"/>
      <c r="AZ322" s="73"/>
      <c r="BA322" s="73"/>
      <c r="BB322" s="73"/>
      <c r="BC322" s="73"/>
      <c r="BD322" s="73"/>
      <c r="BE322" s="73"/>
      <c r="BF322" s="73"/>
      <c r="BG322" s="73"/>
      <c r="BH322" s="73"/>
      <c r="BI322" s="73"/>
      <c r="BJ322" s="73"/>
      <c r="BK322" s="73"/>
      <c r="BL322" s="73"/>
      <c r="BM322" s="73"/>
      <c r="BN322" s="73"/>
      <c r="BO322" s="73"/>
      <c r="BP322" s="73"/>
      <c r="BQ322" s="73"/>
      <c r="BR322" s="73"/>
      <c r="BS322" s="73"/>
      <c r="BT322" s="73"/>
      <c r="BU322" s="73"/>
      <c r="BV322" s="73"/>
      <c r="BW322" s="73"/>
      <c r="BX322" s="73"/>
      <c r="BY322" s="73"/>
      <c r="BZ322" s="73"/>
      <c r="CA322" s="73"/>
      <c r="CB322" s="73"/>
      <c r="CC322" s="73"/>
      <c r="CD322" s="73"/>
      <c r="CE322" s="73"/>
      <c r="CF322" s="73"/>
      <c r="CG322" s="73"/>
      <c r="CH322" s="73"/>
      <c r="CI322" s="73"/>
      <c r="CJ322" s="73"/>
      <c r="CK322" s="73"/>
      <c r="CL322" s="73"/>
      <c r="CM322" s="73"/>
      <c r="CN322" s="73"/>
      <c r="CO322" s="73"/>
      <c r="CP322" s="73"/>
      <c r="CQ322" s="73"/>
      <c r="CR322" s="73"/>
      <c r="CS322" s="73"/>
      <c r="CT322" s="73"/>
      <c r="CU322" s="73"/>
      <c r="CV322" s="73"/>
      <c r="CW322" s="73"/>
    </row>
    <row r="323" spans="1:144" s="8" customFormat="1" ht="13.5" customHeight="1">
      <c r="A323" s="112"/>
      <c r="B323" s="114"/>
      <c r="C323" s="114"/>
      <c r="D323" s="76" t="s">
        <v>290</v>
      </c>
      <c r="E323" s="114"/>
      <c r="F323" s="77">
        <f>(500.32+1)</f>
        <v>501.32</v>
      </c>
      <c r="G323" s="144"/>
      <c r="H323" s="71"/>
      <c r="I323" s="110"/>
      <c r="J323" s="207"/>
      <c r="K323" s="207"/>
      <c r="L323" s="207"/>
      <c r="M323" s="207"/>
      <c r="N323" s="207"/>
      <c r="O323" s="207"/>
      <c r="P323" s="207"/>
      <c r="Q323" s="207"/>
      <c r="R323" s="207"/>
      <c r="S323" s="207"/>
      <c r="T323" s="207"/>
      <c r="U323" s="207"/>
      <c r="V323" s="207"/>
      <c r="W323" s="207"/>
      <c r="X323" s="207"/>
      <c r="Y323" s="207"/>
      <c r="Z323" s="207"/>
      <c r="AA323" s="207"/>
      <c r="AB323" s="207"/>
      <c r="AC323" s="207"/>
      <c r="AD323" s="207"/>
      <c r="AE323" s="207"/>
      <c r="AF323" s="207"/>
      <c r="AG323" s="207"/>
      <c r="AH323" s="207"/>
      <c r="AI323" s="207"/>
      <c r="AJ323" s="207"/>
      <c r="AK323" s="207"/>
      <c r="AL323" s="207"/>
      <c r="AM323" s="207"/>
      <c r="AN323" s="207"/>
      <c r="AO323" s="207"/>
      <c r="AP323" s="207"/>
      <c r="AQ323" s="207"/>
      <c r="AR323" s="207"/>
      <c r="AS323" s="73"/>
      <c r="AT323" s="73"/>
      <c r="AU323" s="73"/>
      <c r="AV323" s="73"/>
      <c r="AW323" s="73"/>
      <c r="AX323" s="73"/>
      <c r="AY323" s="73"/>
      <c r="AZ323" s="73"/>
      <c r="BA323" s="73"/>
      <c r="BB323" s="73"/>
      <c r="BC323" s="73"/>
      <c r="BD323" s="73"/>
      <c r="BE323" s="73"/>
      <c r="BF323" s="73"/>
      <c r="BG323" s="73"/>
      <c r="BH323" s="73"/>
      <c r="BI323" s="73"/>
      <c r="BJ323" s="73"/>
      <c r="BK323" s="73"/>
      <c r="BL323" s="73"/>
      <c r="BM323" s="73"/>
      <c r="BN323" s="73"/>
      <c r="BO323" s="73"/>
      <c r="BP323" s="73"/>
      <c r="BQ323" s="73"/>
      <c r="BR323" s="73"/>
      <c r="BS323" s="73"/>
      <c r="BT323" s="73"/>
      <c r="BU323" s="73"/>
      <c r="BV323" s="73"/>
      <c r="BW323" s="73"/>
      <c r="BX323" s="73"/>
      <c r="BY323" s="73"/>
      <c r="BZ323" s="73"/>
      <c r="CA323" s="73"/>
      <c r="CB323" s="73"/>
      <c r="CC323" s="73"/>
      <c r="CD323" s="73"/>
      <c r="CE323" s="73"/>
      <c r="CF323" s="73"/>
      <c r="CG323" s="73"/>
      <c r="CH323" s="73"/>
      <c r="CI323" s="73"/>
      <c r="CJ323" s="73"/>
      <c r="CK323" s="73"/>
      <c r="CL323" s="73"/>
      <c r="CM323" s="73"/>
      <c r="CN323" s="73"/>
      <c r="CO323" s="73"/>
      <c r="CP323" s="73"/>
      <c r="CQ323" s="73"/>
      <c r="CR323" s="73"/>
      <c r="CS323" s="73"/>
      <c r="CT323" s="73"/>
      <c r="CU323" s="73"/>
      <c r="CV323" s="73"/>
      <c r="CW323" s="73"/>
    </row>
    <row r="324" spans="1:144" s="8" customFormat="1" ht="27" customHeight="1">
      <c r="A324" s="67">
        <v>64</v>
      </c>
      <c r="B324" s="69" t="s">
        <v>277</v>
      </c>
      <c r="C324" s="69">
        <v>781477114</v>
      </c>
      <c r="D324" s="69" t="s">
        <v>291</v>
      </c>
      <c r="E324" s="69" t="s">
        <v>30</v>
      </c>
      <c r="F324" s="100">
        <f>F319</f>
        <v>501.32</v>
      </c>
      <c r="G324" s="71"/>
      <c r="H324" s="71">
        <f>F324*G324</f>
        <v>0</v>
      </c>
      <c r="I324" s="101" t="s">
        <v>31</v>
      </c>
      <c r="J324" s="329"/>
      <c r="K324" s="310"/>
      <c r="L324" s="298"/>
      <c r="M324" s="299"/>
      <c r="N324" s="300"/>
      <c r="O324" s="311"/>
      <c r="P324" s="207"/>
      <c r="Q324" s="207"/>
      <c r="R324" s="302"/>
      <c r="S324" s="207"/>
      <c r="T324" s="207"/>
      <c r="U324" s="207"/>
      <c r="V324" s="207"/>
      <c r="W324" s="207"/>
      <c r="X324" s="207"/>
      <c r="Y324" s="207"/>
      <c r="Z324" s="207"/>
      <c r="AA324" s="207"/>
      <c r="AB324" s="207"/>
      <c r="AC324" s="207"/>
      <c r="AD324" s="207"/>
      <c r="AE324" s="207"/>
      <c r="AF324" s="207"/>
      <c r="AG324" s="207"/>
      <c r="AH324" s="207"/>
      <c r="AI324" s="207"/>
      <c r="AJ324" s="207"/>
      <c r="AK324" s="207"/>
      <c r="AL324" s="207"/>
      <c r="AM324" s="207"/>
      <c r="AN324" s="207"/>
      <c r="AO324" s="207"/>
      <c r="AP324" s="207"/>
      <c r="AQ324" s="207"/>
      <c r="AR324" s="207"/>
      <c r="AS324" s="73"/>
      <c r="AT324" s="73"/>
      <c r="AU324" s="73"/>
      <c r="AV324" s="73"/>
      <c r="AW324" s="73"/>
      <c r="AX324" s="73"/>
      <c r="AY324" s="73"/>
      <c r="AZ324" s="73"/>
      <c r="BA324" s="73"/>
      <c r="BB324" s="73"/>
      <c r="BC324" s="73"/>
      <c r="BD324" s="73"/>
      <c r="BE324" s="73"/>
      <c r="BF324" s="73"/>
      <c r="BG324" s="73"/>
      <c r="BH324" s="73"/>
      <c r="BI324" s="73"/>
      <c r="BJ324" s="73"/>
      <c r="BK324" s="73"/>
      <c r="BL324" s="73"/>
      <c r="BM324" s="73"/>
      <c r="BN324" s="73"/>
      <c r="BO324" s="73"/>
      <c r="BP324" s="73"/>
      <c r="BQ324" s="73"/>
      <c r="BR324" s="73"/>
      <c r="BS324" s="73"/>
      <c r="BT324" s="73"/>
      <c r="BU324" s="73"/>
      <c r="BV324" s="73"/>
      <c r="BW324" s="73"/>
      <c r="BX324" s="73"/>
      <c r="BY324" s="73"/>
      <c r="BZ324" s="73"/>
      <c r="CA324" s="73"/>
      <c r="CB324" s="73"/>
      <c r="CC324" s="73"/>
      <c r="CD324" s="73"/>
      <c r="CE324" s="73"/>
      <c r="CF324" s="73"/>
      <c r="CG324" s="73"/>
      <c r="CH324" s="73"/>
      <c r="CI324" s="73"/>
      <c r="CJ324" s="73"/>
      <c r="CK324" s="73"/>
      <c r="CL324" s="73"/>
      <c r="CM324" s="73"/>
      <c r="CN324" s="73"/>
      <c r="CO324" s="73"/>
      <c r="CP324" s="73"/>
      <c r="CQ324" s="73"/>
      <c r="CR324" s="73"/>
      <c r="CS324" s="73"/>
      <c r="CT324" s="73"/>
      <c r="CU324" s="73"/>
      <c r="CV324" s="73"/>
      <c r="CW324" s="73"/>
    </row>
    <row r="325" spans="1:144" s="214" customFormat="1" ht="13.5" customHeight="1">
      <c r="A325" s="340">
        <v>65</v>
      </c>
      <c r="B325" s="335" t="s">
        <v>277</v>
      </c>
      <c r="C325" s="335">
        <v>781151031</v>
      </c>
      <c r="D325" s="335" t="s">
        <v>349</v>
      </c>
      <c r="E325" s="335" t="s">
        <v>30</v>
      </c>
      <c r="F325" s="337">
        <f>SUM(F326)</f>
        <v>501.32</v>
      </c>
      <c r="G325" s="304"/>
      <c r="H325" s="304">
        <f>F325*G325</f>
        <v>0</v>
      </c>
      <c r="I325" s="218" t="s">
        <v>31</v>
      </c>
      <c r="J325" s="329"/>
      <c r="K325" s="310"/>
      <c r="L325" s="298"/>
      <c r="M325" s="299"/>
      <c r="N325" s="300"/>
      <c r="O325" s="311"/>
      <c r="P325" s="207"/>
      <c r="Q325" s="207"/>
      <c r="R325" s="302"/>
      <c r="S325" s="207"/>
      <c r="T325" s="207"/>
      <c r="U325" s="207"/>
      <c r="V325" s="207"/>
      <c r="W325" s="207"/>
      <c r="X325" s="207"/>
      <c r="Y325" s="207"/>
      <c r="Z325" s="207"/>
      <c r="AA325" s="207"/>
      <c r="AB325" s="207"/>
      <c r="AC325" s="207"/>
      <c r="AD325" s="207"/>
      <c r="AE325" s="207"/>
      <c r="AF325" s="207"/>
      <c r="AG325" s="207"/>
      <c r="AH325" s="207"/>
      <c r="AI325" s="207"/>
      <c r="AJ325" s="207"/>
      <c r="AK325" s="207"/>
      <c r="AL325" s="207"/>
      <c r="AM325" s="207"/>
      <c r="AN325" s="207"/>
      <c r="AO325" s="207"/>
      <c r="AP325" s="207"/>
      <c r="AQ325" s="207"/>
      <c r="AR325" s="207"/>
      <c r="AS325" s="207"/>
      <c r="AT325" s="207"/>
      <c r="AU325" s="207"/>
      <c r="AV325" s="207"/>
      <c r="AW325" s="207"/>
      <c r="AX325" s="207"/>
      <c r="AY325" s="207"/>
      <c r="AZ325" s="207"/>
      <c r="BA325" s="207"/>
      <c r="BB325" s="207"/>
      <c r="BC325" s="207"/>
      <c r="BD325" s="207"/>
      <c r="BE325" s="207"/>
      <c r="BF325" s="207"/>
      <c r="BG325" s="207"/>
      <c r="BH325" s="207"/>
      <c r="BI325" s="207"/>
      <c r="BJ325" s="207"/>
      <c r="BK325" s="207"/>
      <c r="BL325" s="207"/>
      <c r="BM325" s="207"/>
      <c r="BN325" s="207"/>
      <c r="BO325" s="207"/>
      <c r="BP325" s="207"/>
      <c r="BQ325" s="207"/>
      <c r="BR325" s="207"/>
      <c r="BS325" s="207"/>
      <c r="BT325" s="207"/>
      <c r="BU325" s="207"/>
      <c r="BV325" s="207"/>
      <c r="BW325" s="207"/>
      <c r="BX325" s="207"/>
      <c r="BY325" s="207"/>
      <c r="BZ325" s="207"/>
      <c r="CA325" s="207"/>
      <c r="CB325" s="207"/>
      <c r="CC325" s="207"/>
      <c r="CD325" s="207"/>
      <c r="CE325" s="207"/>
      <c r="CF325" s="207"/>
      <c r="CG325" s="207"/>
      <c r="CH325" s="207"/>
      <c r="CI325" s="207"/>
      <c r="CJ325" s="207"/>
      <c r="CK325" s="207"/>
      <c r="CL325" s="207"/>
      <c r="CM325" s="207"/>
      <c r="CN325" s="207"/>
      <c r="CO325" s="207"/>
      <c r="CP325" s="207"/>
      <c r="CQ325" s="207"/>
      <c r="CR325" s="207"/>
      <c r="CS325" s="207"/>
      <c r="CT325" s="207"/>
      <c r="CU325" s="207"/>
      <c r="CV325" s="207"/>
      <c r="CW325" s="207"/>
      <c r="CX325" s="207"/>
      <c r="CY325" s="207"/>
      <c r="CZ325" s="207"/>
      <c r="DA325" s="207"/>
      <c r="DB325" s="207"/>
      <c r="DC325" s="207"/>
      <c r="DD325" s="207"/>
      <c r="DE325" s="207"/>
      <c r="DF325" s="207"/>
      <c r="DG325" s="207"/>
      <c r="DH325" s="207"/>
      <c r="DI325" s="207"/>
      <c r="DJ325" s="207"/>
      <c r="DK325" s="207"/>
      <c r="DL325" s="207"/>
      <c r="DM325" s="207"/>
      <c r="DN325" s="207"/>
      <c r="DO325" s="207"/>
      <c r="DP325" s="207"/>
      <c r="DQ325" s="207"/>
      <c r="DR325" s="207"/>
      <c r="DS325" s="207"/>
      <c r="DT325" s="207"/>
      <c r="DU325" s="207"/>
      <c r="DV325" s="207"/>
      <c r="DW325" s="207"/>
      <c r="DX325" s="207"/>
      <c r="DY325" s="207"/>
      <c r="DZ325" s="207"/>
      <c r="EA325" s="207"/>
      <c r="EB325" s="207"/>
      <c r="EC325" s="207"/>
      <c r="ED325" s="207"/>
      <c r="EE325" s="207"/>
      <c r="EF325" s="207"/>
      <c r="EG325" s="207"/>
      <c r="EH325" s="207"/>
      <c r="EI325" s="207"/>
      <c r="EJ325" s="207"/>
      <c r="EK325" s="207"/>
      <c r="EL325" s="207"/>
      <c r="EM325" s="207"/>
      <c r="EN325" s="207"/>
    </row>
    <row r="326" spans="1:144" s="214" customFormat="1" ht="27" customHeight="1">
      <c r="A326" s="340"/>
      <c r="B326" s="335"/>
      <c r="C326" s="335"/>
      <c r="D326" s="336" t="s">
        <v>397</v>
      </c>
      <c r="E326" s="335"/>
      <c r="F326" s="341">
        <f>(42.99+128.4+125.4+123.3+67.89+12.34+1)</f>
        <v>501.32</v>
      </c>
      <c r="G326" s="304"/>
      <c r="H326" s="304"/>
      <c r="I326" s="218"/>
      <c r="J326" s="329"/>
      <c r="K326" s="310"/>
      <c r="L326" s="298"/>
      <c r="M326" s="299"/>
      <c r="N326" s="300"/>
      <c r="O326" s="311"/>
      <c r="P326" s="207"/>
      <c r="Q326" s="207"/>
      <c r="R326" s="302"/>
      <c r="S326" s="207"/>
      <c r="T326" s="207"/>
      <c r="U326" s="207"/>
      <c r="V326" s="207"/>
      <c r="W326" s="207"/>
      <c r="X326" s="207"/>
      <c r="Y326" s="207"/>
      <c r="Z326" s="207"/>
      <c r="AA326" s="207"/>
      <c r="AB326" s="207"/>
      <c r="AC326" s="207"/>
      <c r="AD326" s="207"/>
      <c r="AE326" s="207"/>
      <c r="AF326" s="207"/>
      <c r="AG326" s="207"/>
      <c r="AH326" s="207"/>
      <c r="AI326" s="207"/>
      <c r="AJ326" s="207"/>
      <c r="AK326" s="207"/>
      <c r="AL326" s="207"/>
      <c r="AM326" s="207"/>
      <c r="AN326" s="207"/>
      <c r="AO326" s="207"/>
      <c r="AP326" s="207"/>
      <c r="AQ326" s="207"/>
      <c r="AR326" s="207"/>
      <c r="AS326" s="207"/>
      <c r="AT326" s="207"/>
      <c r="AU326" s="207"/>
      <c r="AV326" s="207"/>
      <c r="AW326" s="207"/>
      <c r="AX326" s="207"/>
      <c r="AY326" s="207"/>
      <c r="AZ326" s="207"/>
      <c r="BA326" s="207"/>
      <c r="BB326" s="207"/>
      <c r="BC326" s="207"/>
      <c r="BD326" s="207"/>
      <c r="BE326" s="207"/>
      <c r="BF326" s="207"/>
      <c r="BG326" s="207"/>
      <c r="BH326" s="207"/>
      <c r="BI326" s="207"/>
      <c r="BJ326" s="207"/>
      <c r="BK326" s="207"/>
      <c r="BL326" s="207"/>
      <c r="BM326" s="207"/>
      <c r="BN326" s="207"/>
      <c r="BO326" s="207"/>
      <c r="BP326" s="207"/>
      <c r="BQ326" s="207"/>
      <c r="BR326" s="207"/>
      <c r="BS326" s="207"/>
      <c r="BT326" s="207"/>
      <c r="BU326" s="207"/>
      <c r="BV326" s="207"/>
      <c r="BW326" s="207"/>
      <c r="BX326" s="207"/>
      <c r="BY326" s="207"/>
      <c r="BZ326" s="207"/>
      <c r="CA326" s="207"/>
      <c r="CB326" s="207"/>
      <c r="CC326" s="207"/>
      <c r="CD326" s="207"/>
      <c r="CE326" s="207"/>
      <c r="CF326" s="207"/>
      <c r="CG326" s="207"/>
      <c r="CH326" s="207"/>
      <c r="CI326" s="207"/>
      <c r="CJ326" s="207"/>
      <c r="CK326" s="207"/>
      <c r="CL326" s="207"/>
      <c r="CM326" s="207"/>
      <c r="CN326" s="207"/>
      <c r="CO326" s="207"/>
      <c r="CP326" s="207"/>
      <c r="CQ326" s="207"/>
      <c r="CR326" s="207"/>
      <c r="CS326" s="207"/>
      <c r="CT326" s="207"/>
      <c r="CU326" s="207"/>
      <c r="CV326" s="207"/>
      <c r="CW326" s="207"/>
      <c r="CX326" s="207"/>
      <c r="CY326" s="207"/>
      <c r="CZ326" s="207"/>
      <c r="DA326" s="207"/>
      <c r="DB326" s="207"/>
      <c r="DC326" s="207"/>
      <c r="DD326" s="207"/>
      <c r="DE326" s="207"/>
      <c r="DF326" s="207"/>
      <c r="DG326" s="207"/>
      <c r="DH326" s="207"/>
      <c r="DI326" s="207"/>
      <c r="DJ326" s="207"/>
      <c r="DK326" s="207"/>
      <c r="DL326" s="207"/>
      <c r="DM326" s="207"/>
      <c r="DN326" s="207"/>
      <c r="DO326" s="207"/>
      <c r="DP326" s="207"/>
      <c r="DQ326" s="207"/>
      <c r="DR326" s="207"/>
      <c r="DS326" s="207"/>
      <c r="DT326" s="207"/>
      <c r="DU326" s="207"/>
      <c r="DV326" s="207"/>
      <c r="DW326" s="207"/>
      <c r="DX326" s="207"/>
      <c r="DY326" s="207"/>
      <c r="DZ326" s="207"/>
      <c r="EA326" s="207"/>
      <c r="EB326" s="207"/>
      <c r="EC326" s="207"/>
      <c r="ED326" s="207"/>
      <c r="EE326" s="207"/>
      <c r="EF326" s="207"/>
      <c r="EG326" s="207"/>
      <c r="EH326" s="207"/>
      <c r="EI326" s="207"/>
      <c r="EJ326" s="207"/>
      <c r="EK326" s="207"/>
      <c r="EL326" s="207"/>
      <c r="EM326" s="207"/>
      <c r="EN326" s="207"/>
    </row>
    <row r="327" spans="1:144" s="8" customFormat="1" ht="13.5" customHeight="1">
      <c r="A327" s="67">
        <v>66</v>
      </c>
      <c r="B327" s="69" t="s">
        <v>277</v>
      </c>
      <c r="C327" s="69">
        <v>998781203</v>
      </c>
      <c r="D327" s="69" t="s">
        <v>293</v>
      </c>
      <c r="E327" s="69" t="s">
        <v>237</v>
      </c>
      <c r="F327" s="100">
        <v>3.54</v>
      </c>
      <c r="G327" s="71"/>
      <c r="H327" s="71">
        <f>F327*G327</f>
        <v>0</v>
      </c>
      <c r="I327" s="101" t="s">
        <v>31</v>
      </c>
      <c r="J327" s="330"/>
      <c r="K327" s="331"/>
      <c r="L327" s="331"/>
      <c r="M327" s="207"/>
      <c r="N327" s="207"/>
      <c r="O327" s="207"/>
      <c r="P327" s="207"/>
      <c r="Q327" s="207"/>
      <c r="R327" s="207"/>
      <c r="S327" s="207"/>
      <c r="T327" s="207"/>
      <c r="U327" s="207"/>
      <c r="V327" s="207"/>
      <c r="W327" s="207"/>
      <c r="X327" s="207"/>
      <c r="Y327" s="207"/>
      <c r="Z327" s="207"/>
      <c r="AA327" s="207"/>
      <c r="AB327" s="207"/>
      <c r="AC327" s="207"/>
      <c r="AD327" s="207"/>
      <c r="AE327" s="207"/>
      <c r="AF327" s="207"/>
      <c r="AG327" s="207"/>
      <c r="AH327" s="207"/>
      <c r="AI327" s="207"/>
      <c r="AJ327" s="207"/>
      <c r="AK327" s="207"/>
      <c r="AL327" s="207"/>
      <c r="AM327" s="207"/>
      <c r="AN327" s="207"/>
      <c r="AO327" s="207"/>
      <c r="AP327" s="207"/>
      <c r="AQ327" s="207"/>
      <c r="AR327" s="207"/>
      <c r="AS327" s="73"/>
      <c r="AT327" s="73"/>
      <c r="AU327" s="73"/>
      <c r="AV327" s="73"/>
      <c r="AW327" s="73"/>
      <c r="AX327" s="73"/>
      <c r="AY327" s="73"/>
      <c r="AZ327" s="73"/>
      <c r="BA327" s="73"/>
      <c r="BB327" s="73"/>
      <c r="BC327" s="73"/>
      <c r="BD327" s="73"/>
      <c r="BE327" s="73"/>
      <c r="BF327" s="73"/>
      <c r="BG327" s="73"/>
      <c r="BH327" s="73"/>
      <c r="BI327" s="73"/>
      <c r="BJ327" s="73"/>
      <c r="BK327" s="73"/>
      <c r="BL327" s="73"/>
      <c r="BM327" s="73"/>
      <c r="BN327" s="73"/>
      <c r="BO327" s="73"/>
      <c r="BP327" s="73"/>
      <c r="BQ327" s="73"/>
      <c r="BR327" s="73"/>
      <c r="BS327" s="73"/>
      <c r="BT327" s="73"/>
      <c r="BU327" s="73"/>
      <c r="BV327" s="73"/>
      <c r="BW327" s="73"/>
      <c r="BX327" s="73"/>
      <c r="BY327" s="73"/>
      <c r="BZ327" s="73"/>
      <c r="CA327" s="73"/>
      <c r="CB327" s="73"/>
      <c r="CC327" s="73"/>
      <c r="CD327" s="73"/>
      <c r="CE327" s="73"/>
      <c r="CF327" s="73"/>
      <c r="CG327" s="73"/>
      <c r="CH327" s="73"/>
      <c r="CI327" s="73"/>
      <c r="CJ327" s="73"/>
      <c r="CK327" s="73"/>
      <c r="CL327" s="73"/>
      <c r="CM327" s="73"/>
      <c r="CN327" s="73"/>
      <c r="CO327" s="73"/>
      <c r="CP327" s="73"/>
      <c r="CQ327" s="73"/>
      <c r="CR327" s="73"/>
      <c r="CS327" s="73"/>
      <c r="CT327" s="73"/>
      <c r="CU327" s="73"/>
      <c r="CV327" s="73"/>
      <c r="CW327" s="73"/>
    </row>
    <row r="328" spans="1:144" s="8" customFormat="1" ht="13.5" customHeight="1">
      <c r="A328" s="67">
        <v>67</v>
      </c>
      <c r="B328" s="69" t="s">
        <v>50</v>
      </c>
      <c r="C328" s="69" t="s">
        <v>294</v>
      </c>
      <c r="D328" s="69" t="s">
        <v>295</v>
      </c>
      <c r="E328" s="69" t="s">
        <v>53</v>
      </c>
      <c r="F328" s="100">
        <f>F329</f>
        <v>30</v>
      </c>
      <c r="G328" s="71"/>
      <c r="H328" s="71">
        <f>F328*G328</f>
        <v>0</v>
      </c>
      <c r="I328" s="101" t="s">
        <v>31</v>
      </c>
      <c r="J328" s="207"/>
      <c r="K328" s="207"/>
      <c r="L328" s="207"/>
      <c r="M328" s="207"/>
      <c r="N328" s="207"/>
      <c r="O328" s="207"/>
      <c r="P328" s="207"/>
      <c r="Q328" s="207"/>
      <c r="R328" s="207"/>
      <c r="S328" s="207"/>
      <c r="T328" s="207"/>
      <c r="U328" s="207"/>
      <c r="V328" s="207"/>
      <c r="W328" s="207"/>
      <c r="X328" s="207"/>
      <c r="Y328" s="207"/>
      <c r="Z328" s="207"/>
      <c r="AA328" s="207"/>
      <c r="AB328" s="207"/>
      <c r="AC328" s="207"/>
      <c r="AD328" s="207"/>
      <c r="AE328" s="207"/>
      <c r="AF328" s="207"/>
      <c r="AG328" s="207"/>
      <c r="AH328" s="207"/>
      <c r="AI328" s="207"/>
      <c r="AJ328" s="207"/>
      <c r="AK328" s="207"/>
      <c r="AL328" s="207"/>
      <c r="AM328" s="207"/>
      <c r="AN328" s="207"/>
      <c r="AO328" s="207"/>
      <c r="AP328" s="207"/>
      <c r="AQ328" s="207"/>
      <c r="AR328" s="207"/>
      <c r="AS328" s="73"/>
      <c r="AT328" s="73"/>
      <c r="AU328" s="73"/>
      <c r="AV328" s="73"/>
      <c r="AW328" s="73"/>
      <c r="AX328" s="73"/>
      <c r="AY328" s="73"/>
      <c r="AZ328" s="73"/>
      <c r="BA328" s="73"/>
      <c r="BB328" s="73"/>
      <c r="BC328" s="73"/>
      <c r="BD328" s="73"/>
      <c r="BE328" s="73"/>
      <c r="BF328" s="73"/>
      <c r="BG328" s="73"/>
      <c r="BH328" s="73"/>
      <c r="BI328" s="73"/>
      <c r="BJ328" s="73"/>
      <c r="BK328" s="73"/>
      <c r="BL328" s="73"/>
      <c r="BM328" s="73"/>
      <c r="BN328" s="73"/>
      <c r="BO328" s="73"/>
      <c r="BP328" s="73"/>
      <c r="BQ328" s="73"/>
      <c r="BR328" s="73"/>
      <c r="BS328" s="73"/>
      <c r="BT328" s="73"/>
      <c r="BU328" s="73"/>
      <c r="BV328" s="73"/>
      <c r="BW328" s="73"/>
      <c r="BX328" s="73"/>
      <c r="BY328" s="73"/>
      <c r="BZ328" s="73"/>
      <c r="CA328" s="73"/>
      <c r="CB328" s="73"/>
      <c r="CC328" s="73"/>
      <c r="CD328" s="73"/>
      <c r="CE328" s="73"/>
      <c r="CF328" s="73"/>
      <c r="CG328" s="73"/>
      <c r="CH328" s="73"/>
      <c r="CI328" s="73"/>
      <c r="CJ328" s="73"/>
      <c r="CK328" s="73"/>
      <c r="CL328" s="73"/>
      <c r="CM328" s="73"/>
      <c r="CN328" s="73"/>
      <c r="CO328" s="73"/>
      <c r="CP328" s="73"/>
      <c r="CQ328" s="73"/>
      <c r="CR328" s="73"/>
      <c r="CS328" s="73"/>
      <c r="CT328" s="73"/>
      <c r="CU328" s="73"/>
      <c r="CV328" s="73"/>
      <c r="CW328" s="73"/>
    </row>
    <row r="329" spans="1:144" s="8" customFormat="1" ht="13.5" customHeight="1">
      <c r="A329" s="112"/>
      <c r="B329" s="114"/>
      <c r="C329" s="114"/>
      <c r="D329" s="76" t="s">
        <v>296</v>
      </c>
      <c r="E329" s="114"/>
      <c r="F329" s="77">
        <v>30</v>
      </c>
      <c r="G329" s="144"/>
      <c r="H329" s="71"/>
      <c r="I329" s="110"/>
      <c r="J329" s="207"/>
      <c r="K329" s="207"/>
      <c r="L329" s="207"/>
      <c r="M329" s="207"/>
      <c r="N329" s="207"/>
      <c r="O329" s="207"/>
      <c r="P329" s="207"/>
      <c r="Q329" s="207"/>
      <c r="R329" s="207"/>
      <c r="S329" s="207"/>
      <c r="T329" s="207"/>
      <c r="U329" s="207"/>
      <c r="V329" s="207"/>
      <c r="W329" s="207"/>
      <c r="X329" s="207"/>
      <c r="Y329" s="207"/>
      <c r="Z329" s="207"/>
      <c r="AA329" s="207"/>
      <c r="AB329" s="207"/>
      <c r="AC329" s="207"/>
      <c r="AD329" s="207"/>
      <c r="AE329" s="207"/>
      <c r="AF329" s="207"/>
      <c r="AG329" s="207"/>
      <c r="AH329" s="207"/>
      <c r="AI329" s="207"/>
      <c r="AJ329" s="207"/>
      <c r="AK329" s="207"/>
      <c r="AL329" s="207"/>
      <c r="AM329" s="207"/>
      <c r="AN329" s="207"/>
      <c r="AO329" s="207"/>
      <c r="AP329" s="207"/>
      <c r="AQ329" s="207"/>
      <c r="AR329" s="207"/>
      <c r="AS329" s="73"/>
      <c r="AT329" s="73"/>
      <c r="AU329" s="73"/>
      <c r="AV329" s="73"/>
      <c r="AW329" s="73"/>
      <c r="AX329" s="73"/>
      <c r="AY329" s="73"/>
      <c r="AZ329" s="73"/>
      <c r="BA329" s="73"/>
      <c r="BB329" s="73"/>
      <c r="BC329" s="73"/>
      <c r="BD329" s="73"/>
      <c r="BE329" s="73"/>
      <c r="BF329" s="73"/>
      <c r="BG329" s="73"/>
      <c r="BH329" s="73"/>
      <c r="BI329" s="73"/>
      <c r="BJ329" s="73"/>
      <c r="BK329" s="73"/>
      <c r="BL329" s="73"/>
      <c r="BM329" s="73"/>
      <c r="BN329" s="73"/>
      <c r="BO329" s="73"/>
      <c r="BP329" s="73"/>
      <c r="BQ329" s="73"/>
      <c r="BR329" s="73"/>
      <c r="BS329" s="73"/>
      <c r="BT329" s="73"/>
      <c r="BU329" s="73"/>
      <c r="BV329" s="73"/>
      <c r="BW329" s="73"/>
      <c r="BX329" s="73"/>
      <c r="BY329" s="73"/>
      <c r="BZ329" s="73"/>
      <c r="CA329" s="73"/>
      <c r="CB329" s="73"/>
      <c r="CC329" s="73"/>
      <c r="CD329" s="73"/>
      <c r="CE329" s="73"/>
      <c r="CF329" s="73"/>
      <c r="CG329" s="73"/>
      <c r="CH329" s="73"/>
      <c r="CI329" s="73"/>
      <c r="CJ329" s="73"/>
      <c r="CK329" s="73"/>
      <c r="CL329" s="73"/>
      <c r="CM329" s="73"/>
      <c r="CN329" s="73"/>
      <c r="CO329" s="73"/>
      <c r="CP329" s="73"/>
      <c r="CQ329" s="73"/>
      <c r="CR329" s="73"/>
      <c r="CS329" s="73"/>
      <c r="CT329" s="73"/>
      <c r="CU329" s="73"/>
      <c r="CV329" s="73"/>
      <c r="CW329" s="73"/>
    </row>
    <row r="330" spans="1:144" s="8" customFormat="1" ht="13.5" customHeight="1">
      <c r="A330" s="112"/>
      <c r="B330" s="114"/>
      <c r="C330" s="114"/>
      <c r="D330" s="76" t="s">
        <v>241</v>
      </c>
      <c r="E330" s="114"/>
      <c r="F330" s="77"/>
      <c r="G330" s="144"/>
      <c r="H330" s="71"/>
      <c r="I330" s="110"/>
      <c r="J330" s="207"/>
      <c r="K330" s="207"/>
      <c r="L330" s="207"/>
      <c r="M330" s="207"/>
      <c r="N330" s="207"/>
      <c r="O330" s="207"/>
      <c r="P330" s="207"/>
      <c r="Q330" s="207"/>
      <c r="R330" s="207"/>
      <c r="S330" s="207"/>
      <c r="T330" s="207"/>
      <c r="U330" s="207"/>
      <c r="V330" s="207"/>
      <c r="W330" s="207"/>
      <c r="X330" s="207"/>
      <c r="Y330" s="207"/>
      <c r="Z330" s="207"/>
      <c r="AA330" s="207"/>
      <c r="AB330" s="207"/>
      <c r="AC330" s="207"/>
      <c r="AD330" s="207"/>
      <c r="AE330" s="207"/>
      <c r="AF330" s="207"/>
      <c r="AG330" s="207"/>
      <c r="AH330" s="207"/>
      <c r="AI330" s="207"/>
      <c r="AJ330" s="207"/>
      <c r="AK330" s="207"/>
      <c r="AL330" s="207"/>
      <c r="AM330" s="207"/>
      <c r="AN330" s="207"/>
      <c r="AO330" s="207"/>
      <c r="AP330" s="207"/>
      <c r="AQ330" s="207"/>
      <c r="AR330" s="207"/>
      <c r="AS330" s="73"/>
      <c r="AT330" s="73"/>
      <c r="AU330" s="73"/>
      <c r="AV330" s="73"/>
      <c r="AW330" s="73"/>
      <c r="AX330" s="73"/>
      <c r="AY330" s="73"/>
      <c r="AZ330" s="73"/>
      <c r="BA330" s="73"/>
      <c r="BB330" s="73"/>
      <c r="BC330" s="73"/>
      <c r="BD330" s="73"/>
      <c r="BE330" s="73"/>
      <c r="BF330" s="73"/>
      <c r="BG330" s="73"/>
      <c r="BH330" s="73"/>
      <c r="BI330" s="73"/>
      <c r="BJ330" s="73"/>
      <c r="BK330" s="73"/>
      <c r="BL330" s="73"/>
      <c r="BM330" s="73"/>
      <c r="BN330" s="73"/>
      <c r="BO330" s="73"/>
      <c r="BP330" s="73"/>
      <c r="BQ330" s="73"/>
      <c r="BR330" s="73"/>
      <c r="BS330" s="73"/>
      <c r="BT330" s="73"/>
      <c r="BU330" s="73"/>
      <c r="BV330" s="73"/>
      <c r="BW330" s="73"/>
      <c r="BX330" s="73"/>
      <c r="BY330" s="73"/>
      <c r="BZ330" s="73"/>
      <c r="CA330" s="73"/>
      <c r="CB330" s="73"/>
      <c r="CC330" s="73"/>
      <c r="CD330" s="73"/>
      <c r="CE330" s="73"/>
      <c r="CF330" s="73"/>
      <c r="CG330" s="73"/>
      <c r="CH330" s="73"/>
      <c r="CI330" s="73"/>
      <c r="CJ330" s="73"/>
      <c r="CK330" s="73"/>
      <c r="CL330" s="73"/>
      <c r="CM330" s="73"/>
      <c r="CN330" s="73"/>
      <c r="CO330" s="73"/>
      <c r="CP330" s="73"/>
      <c r="CQ330" s="73"/>
      <c r="CR330" s="73"/>
      <c r="CS330" s="73"/>
      <c r="CT330" s="73"/>
      <c r="CU330" s="73"/>
      <c r="CV330" s="73"/>
      <c r="CW330" s="73"/>
    </row>
    <row r="331" spans="1:144" s="38" customFormat="1" ht="13.5" customHeight="1">
      <c r="A331" s="74"/>
      <c r="B331" s="75"/>
      <c r="C331" s="75">
        <v>784</v>
      </c>
      <c r="D331" s="75" t="s">
        <v>71</v>
      </c>
      <c r="E331" s="75"/>
      <c r="F331" s="158"/>
      <c r="G331" s="78"/>
      <c r="H331" s="78">
        <f>SUM(H332:H390)</f>
        <v>0</v>
      </c>
      <c r="I331" s="101"/>
      <c r="J331" s="370"/>
    </row>
    <row r="332" spans="1:144" s="38" customFormat="1" ht="13.5" customHeight="1">
      <c r="A332" s="67">
        <v>68</v>
      </c>
      <c r="B332" s="69">
        <v>784</v>
      </c>
      <c r="C332" s="69">
        <v>784111001</v>
      </c>
      <c r="D332" s="69" t="s">
        <v>297</v>
      </c>
      <c r="E332" s="69" t="s">
        <v>30</v>
      </c>
      <c r="F332" s="100">
        <f>SUM(F333)</f>
        <v>668.2299999999999</v>
      </c>
      <c r="G332" s="71"/>
      <c r="H332" s="71">
        <f>F332*G332</f>
        <v>0</v>
      </c>
      <c r="I332" s="101" t="s">
        <v>31</v>
      </c>
    </row>
    <row r="333" spans="1:144" s="38" customFormat="1" ht="13.5" customHeight="1">
      <c r="A333" s="67"/>
      <c r="B333" s="69"/>
      <c r="C333" s="69"/>
      <c r="D333" s="111" t="s">
        <v>298</v>
      </c>
      <c r="E333" s="69"/>
      <c r="F333" s="77">
        <f>F381+F374</f>
        <v>668.2299999999999</v>
      </c>
      <c r="G333" s="71"/>
      <c r="H333" s="71"/>
      <c r="I333" s="101"/>
    </row>
    <row r="334" spans="1:144" s="38" customFormat="1" ht="13.5" customHeight="1">
      <c r="A334" s="67">
        <v>69</v>
      </c>
      <c r="B334" s="69">
        <v>784</v>
      </c>
      <c r="C334" s="69">
        <v>784121001</v>
      </c>
      <c r="D334" s="69" t="s">
        <v>299</v>
      </c>
      <c r="E334" s="69" t="s">
        <v>30</v>
      </c>
      <c r="F334" s="100">
        <f>SUM(F336:F338)</f>
        <v>453.31999999999994</v>
      </c>
      <c r="G334" s="71"/>
      <c r="H334" s="71">
        <f>F334*G334</f>
        <v>0</v>
      </c>
      <c r="I334" s="101" t="s">
        <v>31</v>
      </c>
      <c r="J334" s="52"/>
    </row>
    <row r="335" spans="1:144" s="38" customFormat="1" ht="13.5" customHeight="1">
      <c r="A335" s="67"/>
      <c r="B335" s="69"/>
      <c r="C335" s="69"/>
      <c r="D335" s="111" t="s">
        <v>300</v>
      </c>
      <c r="E335" s="69"/>
      <c r="G335" s="71"/>
      <c r="H335" s="71"/>
      <c r="I335" s="101"/>
      <c r="J335" s="391"/>
    </row>
    <row r="336" spans="1:144" s="38" customFormat="1" ht="13.5" customHeight="1">
      <c r="A336" s="67"/>
      <c r="B336" s="69"/>
      <c r="C336" s="69"/>
      <c r="D336" s="111" t="s">
        <v>301</v>
      </c>
      <c r="E336" s="69"/>
      <c r="F336" s="77">
        <f>251.63</f>
        <v>251.63</v>
      </c>
      <c r="G336" s="71"/>
      <c r="H336" s="71"/>
      <c r="I336" s="101"/>
    </row>
    <row r="337" spans="1:12" s="38" customFormat="1" ht="27" customHeight="1">
      <c r="A337" s="67"/>
      <c r="B337" s="69"/>
      <c r="C337" s="69"/>
      <c r="D337" s="111" t="s">
        <v>302</v>
      </c>
      <c r="E337" s="69"/>
      <c r="F337" s="77">
        <f>7.31+8.94+8.81+8.7-0.88-1.23</f>
        <v>31.650000000000002</v>
      </c>
      <c r="G337" s="71"/>
      <c r="H337" s="71"/>
      <c r="I337" s="101"/>
      <c r="J337" s="360"/>
    </row>
    <row r="338" spans="1:12" s="38" customFormat="1" ht="13.5" customHeight="1">
      <c r="A338" s="67"/>
      <c r="B338" s="69"/>
      <c r="C338" s="69"/>
      <c r="D338" s="111" t="s">
        <v>358</v>
      </c>
      <c r="E338" s="69"/>
      <c r="F338" s="77">
        <f>170.04</f>
        <v>170.04</v>
      </c>
      <c r="G338" s="71"/>
      <c r="H338" s="71"/>
      <c r="I338" s="101"/>
      <c r="J338" s="360"/>
    </row>
    <row r="339" spans="1:12" s="38" customFormat="1" ht="13.5" customHeight="1">
      <c r="A339" s="67"/>
      <c r="B339" s="69"/>
      <c r="C339" s="69"/>
      <c r="D339" s="111" t="s">
        <v>303</v>
      </c>
      <c r="E339" s="69"/>
      <c r="F339" s="77"/>
      <c r="G339" s="71"/>
      <c r="H339" s="71"/>
      <c r="I339" s="101"/>
      <c r="J339" s="281"/>
    </row>
    <row r="340" spans="1:12" s="38" customFormat="1" ht="13.5" customHeight="1">
      <c r="A340" s="67">
        <v>70</v>
      </c>
      <c r="B340" s="69">
        <v>784</v>
      </c>
      <c r="C340" s="69">
        <v>784121011</v>
      </c>
      <c r="D340" s="69" t="s">
        <v>304</v>
      </c>
      <c r="E340" s="69" t="s">
        <v>30</v>
      </c>
      <c r="F340" s="100">
        <f>SUM(F342:F344)</f>
        <v>453.31999999999994</v>
      </c>
      <c r="G340" s="71"/>
      <c r="H340" s="71">
        <f>F340*G340</f>
        <v>0</v>
      </c>
      <c r="I340" s="101" t="s">
        <v>31</v>
      </c>
    </row>
    <row r="341" spans="1:12" s="38" customFormat="1" ht="13.5" customHeight="1">
      <c r="A341" s="67"/>
      <c r="B341" s="69"/>
      <c r="C341" s="69"/>
      <c r="D341" s="111" t="s">
        <v>305</v>
      </c>
      <c r="E341" s="69"/>
      <c r="G341" s="71"/>
      <c r="H341" s="71"/>
      <c r="I341" s="101"/>
    </row>
    <row r="342" spans="1:12" s="38" customFormat="1" ht="13.5" customHeight="1">
      <c r="A342" s="67"/>
      <c r="B342" s="69"/>
      <c r="C342" s="69"/>
      <c r="D342" s="111" t="s">
        <v>301</v>
      </c>
      <c r="E342" s="69"/>
      <c r="F342" s="77">
        <f>251.63</f>
        <v>251.63</v>
      </c>
      <c r="G342" s="71"/>
      <c r="H342" s="71"/>
      <c r="I342" s="101"/>
    </row>
    <row r="343" spans="1:12" s="38" customFormat="1" ht="27" customHeight="1">
      <c r="A343" s="67"/>
      <c r="B343" s="69"/>
      <c r="C343" s="69"/>
      <c r="D343" s="111" t="s">
        <v>302</v>
      </c>
      <c r="E343" s="69"/>
      <c r="F343" s="77">
        <f>7.31+8.94+8.81+8.7-0.88-1.23</f>
        <v>31.650000000000002</v>
      </c>
      <c r="G343" s="71"/>
      <c r="H343" s="71"/>
      <c r="I343" s="101"/>
      <c r="J343" s="392"/>
    </row>
    <row r="344" spans="1:12" s="38" customFormat="1" ht="13.5" customHeight="1">
      <c r="A344" s="67"/>
      <c r="B344" s="69"/>
      <c r="C344" s="69"/>
      <c r="D344" s="111" t="s">
        <v>359</v>
      </c>
      <c r="E344" s="69"/>
      <c r="F344" s="77">
        <f>170.04</f>
        <v>170.04</v>
      </c>
      <c r="G344" s="71"/>
      <c r="H344" s="71"/>
      <c r="I344" s="101"/>
      <c r="J344" s="360"/>
    </row>
    <row r="345" spans="1:12" s="38" customFormat="1" ht="13.5" customHeight="1">
      <c r="A345" s="67">
        <v>71</v>
      </c>
      <c r="B345" s="69">
        <v>784</v>
      </c>
      <c r="C345" s="69">
        <v>784171003</v>
      </c>
      <c r="D345" s="69" t="s">
        <v>306</v>
      </c>
      <c r="E345" s="69" t="s">
        <v>41</v>
      </c>
      <c r="F345" s="100">
        <f>SUM(F347:F348)</f>
        <v>550</v>
      </c>
      <c r="G345" s="71"/>
      <c r="H345" s="71">
        <f>F345*G345</f>
        <v>0</v>
      </c>
      <c r="I345" s="101" t="s">
        <v>31</v>
      </c>
    </row>
    <row r="346" spans="1:12" s="38" customFormat="1" ht="13.5" customHeight="1">
      <c r="A346" s="67"/>
      <c r="B346" s="69"/>
      <c r="C346" s="69"/>
      <c r="D346" s="111" t="s">
        <v>307</v>
      </c>
      <c r="E346" s="69"/>
      <c r="G346" s="71"/>
      <c r="H346" s="71"/>
      <c r="I346" s="361"/>
    </row>
    <row r="347" spans="1:12" s="38" customFormat="1" ht="13.5" customHeight="1">
      <c r="A347" s="67"/>
      <c r="B347" s="69"/>
      <c r="C347" s="69"/>
      <c r="D347" s="111" t="s">
        <v>308</v>
      </c>
      <c r="E347" s="69"/>
      <c r="F347" s="165">
        <v>300</v>
      </c>
      <c r="G347" s="71"/>
      <c r="H347" s="71"/>
      <c r="I347" s="101"/>
      <c r="J347" s="282"/>
      <c r="K347" s="282"/>
      <c r="L347" s="282"/>
    </row>
    <row r="348" spans="1:12" s="38" customFormat="1" ht="13.5" customHeight="1">
      <c r="A348" s="67"/>
      <c r="B348" s="69"/>
      <c r="C348" s="69"/>
      <c r="D348" s="111" t="s">
        <v>309</v>
      </c>
      <c r="E348" s="69"/>
      <c r="F348" s="165">
        <v>250</v>
      </c>
      <c r="G348" s="71"/>
      <c r="H348" s="71"/>
      <c r="I348" s="101"/>
    </row>
    <row r="349" spans="1:12" s="38" customFormat="1" ht="13.5" customHeight="1">
      <c r="A349" s="67"/>
      <c r="B349" s="69"/>
      <c r="C349" s="69"/>
      <c r="D349" s="111" t="s">
        <v>310</v>
      </c>
      <c r="E349" s="69"/>
      <c r="F349" s="165"/>
      <c r="G349" s="71"/>
      <c r="H349" s="71"/>
      <c r="I349" s="101"/>
      <c r="J349" s="283"/>
    </row>
    <row r="350" spans="1:12" s="38" customFormat="1" ht="13.5" customHeight="1">
      <c r="A350" s="284">
        <v>72</v>
      </c>
      <c r="B350" s="285">
        <v>581</v>
      </c>
      <c r="C350" s="285">
        <v>58124850</v>
      </c>
      <c r="D350" s="285" t="s">
        <v>311</v>
      </c>
      <c r="E350" s="285" t="s">
        <v>41</v>
      </c>
      <c r="F350" s="286">
        <f>SUM(F351:F352)</f>
        <v>577.5</v>
      </c>
      <c r="G350" s="287"/>
      <c r="H350" s="287">
        <f>F350*G350</f>
        <v>0</v>
      </c>
      <c r="I350" s="288" t="s">
        <v>31</v>
      </c>
      <c r="J350" s="283"/>
    </row>
    <row r="351" spans="1:12" s="38" customFormat="1" ht="13.5" customHeight="1">
      <c r="A351" s="284"/>
      <c r="B351" s="285"/>
      <c r="C351" s="285"/>
      <c r="D351" s="289" t="s">
        <v>312</v>
      </c>
      <c r="E351" s="285"/>
      <c r="F351" s="290">
        <f>(300)*1.05</f>
        <v>315</v>
      </c>
      <c r="G351" s="287"/>
      <c r="H351" s="287"/>
      <c r="I351" s="361"/>
    </row>
    <row r="352" spans="1:12" s="38" customFormat="1" ht="13.5" customHeight="1">
      <c r="A352" s="284"/>
      <c r="B352" s="285"/>
      <c r="C352" s="285"/>
      <c r="D352" s="289" t="s">
        <v>313</v>
      </c>
      <c r="E352" s="285"/>
      <c r="F352" s="290">
        <f>(250)*1.05</f>
        <v>262.5</v>
      </c>
      <c r="G352" s="287"/>
      <c r="H352" s="287"/>
      <c r="I352" s="291"/>
      <c r="J352" s="292"/>
    </row>
    <row r="353" spans="1:101" s="38" customFormat="1" ht="13.5" customHeight="1">
      <c r="A353" s="67">
        <v>73</v>
      </c>
      <c r="B353" s="69">
        <v>784</v>
      </c>
      <c r="C353" s="69">
        <v>784171111</v>
      </c>
      <c r="D353" s="69" t="s">
        <v>314</v>
      </c>
      <c r="E353" s="69" t="s">
        <v>30</v>
      </c>
      <c r="F353" s="100">
        <f>SUM(F355:F355)</f>
        <v>625</v>
      </c>
      <c r="G353" s="71"/>
      <c r="H353" s="71">
        <f>F353*G353</f>
        <v>0</v>
      </c>
      <c r="I353" s="101" t="s">
        <v>31</v>
      </c>
      <c r="J353" s="283"/>
    </row>
    <row r="354" spans="1:101" s="38" customFormat="1" ht="13.5" customHeight="1">
      <c r="A354" s="67"/>
      <c r="B354" s="69"/>
      <c r="C354" s="69"/>
      <c r="D354" s="111" t="s">
        <v>315</v>
      </c>
      <c r="E354" s="69"/>
      <c r="G354" s="71"/>
      <c r="H354" s="71"/>
      <c r="I354" s="361"/>
      <c r="J354" s="268"/>
      <c r="K354" s="268"/>
      <c r="L354" s="268"/>
      <c r="M354" s="268"/>
    </row>
    <row r="355" spans="1:101" s="38" customFormat="1" ht="13.5" customHeight="1">
      <c r="A355" s="67"/>
      <c r="B355" s="69"/>
      <c r="C355" s="69"/>
      <c r="D355" s="111" t="s">
        <v>316</v>
      </c>
      <c r="E355" s="69"/>
      <c r="F355" s="77">
        <v>625</v>
      </c>
      <c r="G355" s="71"/>
      <c r="H355" s="71"/>
      <c r="I355" s="101"/>
    </row>
    <row r="356" spans="1:101" s="38" customFormat="1" ht="13.5" customHeight="1">
      <c r="A356" s="353"/>
      <c r="B356" s="335"/>
      <c r="C356" s="335"/>
      <c r="D356" s="362" t="s">
        <v>310</v>
      </c>
      <c r="E356" s="335"/>
      <c r="F356" s="363"/>
      <c r="G356" s="355"/>
      <c r="H356" s="355"/>
      <c r="I356" s="364"/>
      <c r="J356" s="283"/>
    </row>
    <row r="357" spans="1:101" s="38" customFormat="1" ht="13.5" customHeight="1">
      <c r="A357" s="67">
        <v>74</v>
      </c>
      <c r="B357" s="69">
        <v>784</v>
      </c>
      <c r="C357" s="69">
        <v>784171121</v>
      </c>
      <c r="D357" s="69" t="s">
        <v>317</v>
      </c>
      <c r="E357" s="69" t="s">
        <v>30</v>
      </c>
      <c r="F357" s="100">
        <f>SUM(F359:F359)</f>
        <v>200</v>
      </c>
      <c r="G357" s="71"/>
      <c r="H357" s="71">
        <f>F357*G357</f>
        <v>0</v>
      </c>
      <c r="I357" s="101" t="s">
        <v>31</v>
      </c>
      <c r="J357" s="283"/>
    </row>
    <row r="358" spans="1:101" s="38" customFormat="1" ht="13.5" customHeight="1">
      <c r="A358" s="67"/>
      <c r="B358" s="69"/>
      <c r="C358" s="69"/>
      <c r="D358" s="111" t="s">
        <v>318</v>
      </c>
      <c r="E358" s="69"/>
      <c r="G358" s="71"/>
      <c r="H358" s="71"/>
      <c r="I358" s="361"/>
      <c r="J358" s="283"/>
    </row>
    <row r="359" spans="1:101" s="38" customFormat="1" ht="13.5" customHeight="1">
      <c r="A359" s="67"/>
      <c r="B359" s="69"/>
      <c r="C359" s="69"/>
      <c r="D359" s="111" t="s">
        <v>319</v>
      </c>
      <c r="E359" s="69"/>
      <c r="F359" s="77">
        <v>200</v>
      </c>
      <c r="G359" s="71"/>
      <c r="H359" s="71"/>
      <c r="I359" s="101"/>
    </row>
    <row r="360" spans="1:101" s="38" customFormat="1" ht="13.5" customHeight="1">
      <c r="A360" s="353"/>
      <c r="B360" s="335"/>
      <c r="C360" s="335"/>
      <c r="D360" s="362" t="s">
        <v>310</v>
      </c>
      <c r="E360" s="335"/>
      <c r="F360" s="363"/>
      <c r="G360" s="355"/>
      <c r="H360" s="355"/>
      <c r="I360" s="364"/>
      <c r="J360" s="283"/>
    </row>
    <row r="361" spans="1:101" s="293" customFormat="1" ht="13.5" customHeight="1">
      <c r="A361" s="284">
        <v>75</v>
      </c>
      <c r="B361" s="285">
        <v>581</v>
      </c>
      <c r="C361" s="285">
        <v>58124842</v>
      </c>
      <c r="D361" s="285" t="s">
        <v>320</v>
      </c>
      <c r="E361" s="285" t="s">
        <v>30</v>
      </c>
      <c r="F361" s="286">
        <f>SUM(F363:F365)</f>
        <v>866.25</v>
      </c>
      <c r="G361" s="287"/>
      <c r="H361" s="287">
        <f>F361*G361</f>
        <v>0</v>
      </c>
      <c r="I361" s="288" t="s">
        <v>31</v>
      </c>
      <c r="J361" s="393"/>
      <c r="K361" s="394"/>
      <c r="L361" s="395"/>
      <c r="M361" s="396"/>
      <c r="N361" s="397"/>
      <c r="O361" s="398"/>
      <c r="P361" s="207"/>
      <c r="Q361" s="207"/>
      <c r="R361" s="302"/>
      <c r="S361" s="299"/>
      <c r="T361" s="299"/>
      <c r="U361" s="299"/>
      <c r="V361" s="299"/>
      <c r="W361" s="299"/>
      <c r="X361" s="299"/>
      <c r="Y361" s="299"/>
      <c r="Z361" s="299"/>
      <c r="AA361" s="299"/>
      <c r="AB361" s="299"/>
      <c r="AC361" s="299"/>
      <c r="AD361" s="299"/>
      <c r="AE361" s="299"/>
      <c r="AF361" s="299"/>
      <c r="AG361" s="299"/>
      <c r="AH361" s="299"/>
      <c r="AI361" s="299"/>
      <c r="AJ361" s="299"/>
      <c r="AK361" s="299"/>
      <c r="AL361" s="299"/>
      <c r="AM361" s="299"/>
      <c r="AN361" s="299"/>
      <c r="AO361" s="299"/>
      <c r="AP361" s="299"/>
      <c r="AQ361" s="299"/>
      <c r="AR361" s="299"/>
      <c r="AS361" s="254"/>
      <c r="AT361" s="254"/>
      <c r="AU361" s="254"/>
      <c r="AV361" s="254"/>
      <c r="AW361" s="254"/>
      <c r="AX361" s="254"/>
      <c r="AY361" s="254"/>
      <c r="AZ361" s="254"/>
      <c r="BA361" s="254"/>
      <c r="BB361" s="254"/>
      <c r="BC361" s="254"/>
      <c r="BD361" s="254"/>
      <c r="BE361" s="254"/>
      <c r="BF361" s="254"/>
      <c r="BG361" s="254"/>
      <c r="BH361" s="254"/>
      <c r="BI361" s="254"/>
      <c r="BJ361" s="254"/>
      <c r="BK361" s="254"/>
      <c r="BL361" s="254"/>
      <c r="BM361" s="254"/>
      <c r="BN361" s="254"/>
      <c r="BO361" s="254"/>
      <c r="BP361" s="254"/>
      <c r="BQ361" s="254"/>
      <c r="BR361" s="254"/>
      <c r="BS361" s="254"/>
      <c r="BT361" s="254"/>
      <c r="BU361" s="254"/>
      <c r="BV361" s="254"/>
      <c r="BW361" s="254"/>
      <c r="BX361" s="254"/>
      <c r="BY361" s="254"/>
      <c r="BZ361" s="254"/>
      <c r="CA361" s="254"/>
      <c r="CB361" s="254"/>
      <c r="CC361" s="254"/>
      <c r="CD361" s="254"/>
      <c r="CE361" s="254"/>
      <c r="CF361" s="254"/>
      <c r="CG361" s="254"/>
      <c r="CH361" s="254"/>
      <c r="CI361" s="254"/>
      <c r="CJ361" s="254"/>
      <c r="CK361" s="254"/>
      <c r="CL361" s="254"/>
      <c r="CM361" s="254"/>
      <c r="CN361" s="254"/>
      <c r="CO361" s="254"/>
      <c r="CP361" s="254"/>
      <c r="CQ361" s="254"/>
      <c r="CR361" s="254"/>
      <c r="CS361" s="254"/>
      <c r="CT361" s="254"/>
      <c r="CU361" s="254"/>
      <c r="CV361" s="254"/>
      <c r="CW361" s="254"/>
    </row>
    <row r="362" spans="1:101" s="293" customFormat="1" ht="13.5" customHeight="1">
      <c r="A362" s="284"/>
      <c r="B362" s="285"/>
      <c r="C362" s="285"/>
      <c r="D362" s="289" t="s">
        <v>321</v>
      </c>
      <c r="E362" s="285"/>
      <c r="F362" s="254"/>
      <c r="G362" s="287"/>
      <c r="H362" s="287"/>
      <c r="I362" s="361"/>
      <c r="J362" s="299"/>
      <c r="K362" s="299"/>
      <c r="L362" s="299"/>
      <c r="M362" s="299"/>
      <c r="N362" s="299"/>
      <c r="O362" s="299"/>
      <c r="P362" s="299"/>
      <c r="Q362" s="299"/>
      <c r="R362" s="299"/>
      <c r="S362" s="299"/>
      <c r="T362" s="299"/>
      <c r="U362" s="299"/>
      <c r="V362" s="299"/>
      <c r="W362" s="299"/>
      <c r="X362" s="299"/>
      <c r="Y362" s="299"/>
      <c r="Z362" s="299"/>
      <c r="AA362" s="299"/>
      <c r="AB362" s="299"/>
      <c r="AC362" s="299"/>
      <c r="AD362" s="299"/>
      <c r="AE362" s="299"/>
      <c r="AF362" s="299"/>
      <c r="AG362" s="299"/>
      <c r="AH362" s="299"/>
      <c r="AI362" s="299"/>
      <c r="AJ362" s="299"/>
      <c r="AK362" s="299"/>
      <c r="AL362" s="299"/>
      <c r="AM362" s="299"/>
      <c r="AN362" s="299"/>
      <c r="AO362" s="299"/>
      <c r="AP362" s="299"/>
      <c r="AQ362" s="299"/>
      <c r="AR362" s="299"/>
      <c r="AS362" s="254"/>
      <c r="AT362" s="254"/>
      <c r="AU362" s="254"/>
      <c r="AV362" s="254"/>
      <c r="AW362" s="254"/>
      <c r="AX362" s="254"/>
      <c r="AY362" s="254"/>
      <c r="AZ362" s="254"/>
      <c r="BA362" s="254"/>
      <c r="BB362" s="254"/>
      <c r="BC362" s="254"/>
      <c r="BD362" s="254"/>
      <c r="BE362" s="254"/>
      <c r="BF362" s="254"/>
      <c r="BG362" s="254"/>
      <c r="BH362" s="254"/>
      <c r="BI362" s="254"/>
      <c r="BJ362" s="254"/>
      <c r="BK362" s="254"/>
      <c r="BL362" s="254"/>
      <c r="BM362" s="254"/>
      <c r="BN362" s="254"/>
      <c r="BO362" s="254"/>
      <c r="BP362" s="254"/>
      <c r="BQ362" s="254"/>
      <c r="BR362" s="254"/>
      <c r="BS362" s="254"/>
      <c r="BT362" s="254"/>
      <c r="BU362" s="254"/>
      <c r="BV362" s="254"/>
      <c r="BW362" s="254"/>
      <c r="BX362" s="254"/>
      <c r="BY362" s="254"/>
      <c r="BZ362" s="254"/>
      <c r="CA362" s="254"/>
      <c r="CB362" s="254"/>
      <c r="CC362" s="254"/>
      <c r="CD362" s="254"/>
      <c r="CE362" s="254"/>
      <c r="CF362" s="254"/>
      <c r="CG362" s="254"/>
      <c r="CH362" s="254"/>
      <c r="CI362" s="254"/>
      <c r="CJ362" s="254"/>
      <c r="CK362" s="254"/>
      <c r="CL362" s="254"/>
      <c r="CM362" s="254"/>
      <c r="CN362" s="254"/>
      <c r="CO362" s="254"/>
      <c r="CP362" s="254"/>
      <c r="CQ362" s="254"/>
      <c r="CR362" s="254"/>
      <c r="CS362" s="254"/>
      <c r="CT362" s="254"/>
      <c r="CU362" s="254"/>
      <c r="CV362" s="254"/>
      <c r="CW362" s="254"/>
    </row>
    <row r="363" spans="1:101" s="293" customFormat="1" ht="13.5" customHeight="1">
      <c r="A363" s="284"/>
      <c r="B363" s="285"/>
      <c r="C363" s="285"/>
      <c r="D363" s="289" t="s">
        <v>357</v>
      </c>
      <c r="E363" s="285"/>
      <c r="F363" s="77">
        <f>(625)*1.05</f>
        <v>656.25</v>
      </c>
      <c r="G363" s="287"/>
      <c r="H363" s="287"/>
      <c r="I363" s="291"/>
      <c r="J363" s="399"/>
      <c r="K363" s="299"/>
      <c r="L363" s="299"/>
      <c r="M363" s="299"/>
      <c r="N363" s="299"/>
      <c r="O363" s="299"/>
      <c r="P363" s="299"/>
      <c r="Q363" s="299"/>
      <c r="R363" s="299"/>
      <c r="S363" s="299"/>
      <c r="T363" s="299"/>
      <c r="U363" s="299"/>
      <c r="V363" s="299"/>
      <c r="W363" s="299"/>
      <c r="X363" s="299"/>
      <c r="Y363" s="299"/>
      <c r="Z363" s="299"/>
      <c r="AA363" s="299"/>
      <c r="AB363" s="299"/>
      <c r="AC363" s="299"/>
      <c r="AD363" s="299"/>
      <c r="AE363" s="299"/>
      <c r="AF363" s="299"/>
      <c r="AG363" s="299"/>
      <c r="AH363" s="299"/>
      <c r="AI363" s="299"/>
      <c r="AJ363" s="299"/>
      <c r="AK363" s="299"/>
      <c r="AL363" s="299"/>
      <c r="AM363" s="299"/>
      <c r="AN363" s="299"/>
      <c r="AO363" s="299"/>
      <c r="AP363" s="299"/>
      <c r="AQ363" s="299"/>
      <c r="AR363" s="299"/>
      <c r="AS363" s="254"/>
      <c r="AT363" s="254"/>
      <c r="AU363" s="254"/>
      <c r="AV363" s="254"/>
      <c r="AW363" s="254"/>
      <c r="AX363" s="254"/>
      <c r="AY363" s="254"/>
      <c r="AZ363" s="254"/>
      <c r="BA363" s="254"/>
      <c r="BB363" s="254"/>
      <c r="BC363" s="254"/>
      <c r="BD363" s="254"/>
      <c r="BE363" s="254"/>
      <c r="BF363" s="254"/>
      <c r="BG363" s="254"/>
      <c r="BH363" s="254"/>
      <c r="BI363" s="254"/>
      <c r="BJ363" s="254"/>
      <c r="BK363" s="254"/>
      <c r="BL363" s="254"/>
      <c r="BM363" s="254"/>
      <c r="BN363" s="254"/>
      <c r="BO363" s="254"/>
      <c r="BP363" s="254"/>
      <c r="BQ363" s="254"/>
      <c r="BR363" s="254"/>
      <c r="BS363" s="254"/>
      <c r="BT363" s="254"/>
      <c r="BU363" s="254"/>
      <c r="BV363" s="254"/>
      <c r="BW363" s="254"/>
      <c r="BX363" s="254"/>
      <c r="BY363" s="254"/>
      <c r="BZ363" s="254"/>
      <c r="CA363" s="254"/>
      <c r="CB363" s="254"/>
      <c r="CC363" s="254"/>
      <c r="CD363" s="254"/>
      <c r="CE363" s="254"/>
      <c r="CF363" s="254"/>
      <c r="CG363" s="254"/>
      <c r="CH363" s="254"/>
      <c r="CI363" s="254"/>
      <c r="CJ363" s="254"/>
      <c r="CK363" s="254"/>
      <c r="CL363" s="254"/>
      <c r="CM363" s="254"/>
      <c r="CN363" s="254"/>
      <c r="CO363" s="254"/>
      <c r="CP363" s="254"/>
      <c r="CQ363" s="254"/>
      <c r="CR363" s="254"/>
      <c r="CS363" s="254"/>
      <c r="CT363" s="254"/>
      <c r="CU363" s="254"/>
      <c r="CV363" s="254"/>
      <c r="CW363" s="254"/>
    </row>
    <row r="364" spans="1:101" s="293" customFormat="1" ht="13.5" customHeight="1">
      <c r="A364" s="284"/>
      <c r="B364" s="285"/>
      <c r="C364" s="285"/>
      <c r="D364" s="289" t="s">
        <v>322</v>
      </c>
      <c r="E364" s="285"/>
      <c r="F364" s="254"/>
      <c r="G364" s="287"/>
      <c r="H364" s="287"/>
      <c r="I364" s="291"/>
      <c r="J364" s="299"/>
      <c r="K364" s="299"/>
      <c r="L364" s="299"/>
      <c r="M364" s="299"/>
      <c r="N364" s="299"/>
      <c r="O364" s="299"/>
      <c r="P364" s="299"/>
      <c r="Q364" s="299"/>
      <c r="R364" s="299"/>
      <c r="S364" s="299"/>
      <c r="T364" s="299"/>
      <c r="U364" s="299"/>
      <c r="V364" s="299"/>
      <c r="W364" s="299"/>
      <c r="X364" s="299"/>
      <c r="Y364" s="299"/>
      <c r="Z364" s="299"/>
      <c r="AA364" s="299"/>
      <c r="AB364" s="299"/>
      <c r="AC364" s="299"/>
      <c r="AD364" s="299"/>
      <c r="AE364" s="299"/>
      <c r="AF364" s="299"/>
      <c r="AG364" s="299"/>
      <c r="AH364" s="299"/>
      <c r="AI364" s="299"/>
      <c r="AJ364" s="299"/>
      <c r="AK364" s="299"/>
      <c r="AL364" s="299"/>
      <c r="AM364" s="299"/>
      <c r="AN364" s="299"/>
      <c r="AO364" s="299"/>
      <c r="AP364" s="299"/>
      <c r="AQ364" s="299"/>
      <c r="AR364" s="299"/>
      <c r="AS364" s="254"/>
      <c r="AT364" s="254"/>
      <c r="AU364" s="254"/>
      <c r="AV364" s="254"/>
      <c r="AW364" s="254"/>
      <c r="AX364" s="254"/>
      <c r="AY364" s="254"/>
      <c r="AZ364" s="254"/>
      <c r="BA364" s="254"/>
      <c r="BB364" s="254"/>
      <c r="BC364" s="254"/>
      <c r="BD364" s="254"/>
      <c r="BE364" s="254"/>
      <c r="BF364" s="254"/>
      <c r="BG364" s="254"/>
      <c r="BH364" s="254"/>
      <c r="BI364" s="254"/>
      <c r="BJ364" s="254"/>
      <c r="BK364" s="254"/>
      <c r="BL364" s="254"/>
      <c r="BM364" s="254"/>
      <c r="BN364" s="254"/>
      <c r="BO364" s="254"/>
      <c r="BP364" s="254"/>
      <c r="BQ364" s="254"/>
      <c r="BR364" s="254"/>
      <c r="BS364" s="254"/>
      <c r="BT364" s="254"/>
      <c r="BU364" s="254"/>
      <c r="BV364" s="254"/>
      <c r="BW364" s="254"/>
      <c r="BX364" s="254"/>
      <c r="BY364" s="254"/>
      <c r="BZ364" s="254"/>
      <c r="CA364" s="254"/>
      <c r="CB364" s="254"/>
      <c r="CC364" s="254"/>
      <c r="CD364" s="254"/>
      <c r="CE364" s="254"/>
      <c r="CF364" s="254"/>
      <c r="CG364" s="254"/>
      <c r="CH364" s="254"/>
      <c r="CI364" s="254"/>
      <c r="CJ364" s="254"/>
      <c r="CK364" s="254"/>
      <c r="CL364" s="254"/>
      <c r="CM364" s="254"/>
      <c r="CN364" s="254"/>
      <c r="CO364" s="254"/>
      <c r="CP364" s="254"/>
      <c r="CQ364" s="254"/>
      <c r="CR364" s="254"/>
      <c r="CS364" s="254"/>
      <c r="CT364" s="254"/>
      <c r="CU364" s="254"/>
      <c r="CV364" s="254"/>
      <c r="CW364" s="254"/>
    </row>
    <row r="365" spans="1:101" s="293" customFormat="1" ht="13.5" customHeight="1">
      <c r="A365" s="284"/>
      <c r="B365" s="285"/>
      <c r="C365" s="285"/>
      <c r="D365" s="289" t="s">
        <v>323</v>
      </c>
      <c r="E365" s="285"/>
      <c r="F365" s="77">
        <f>(200)*1.05</f>
        <v>210</v>
      </c>
      <c r="G365" s="287"/>
      <c r="H365" s="287"/>
      <c r="I365" s="291"/>
      <c r="J365" s="299"/>
      <c r="K365" s="299"/>
      <c r="L365" s="299"/>
      <c r="M365" s="299"/>
      <c r="N365" s="299"/>
      <c r="O365" s="299"/>
      <c r="P365" s="299"/>
      <c r="Q365" s="299"/>
      <c r="R365" s="299"/>
      <c r="S365" s="299"/>
      <c r="T365" s="299"/>
      <c r="U365" s="299"/>
      <c r="V365" s="299"/>
      <c r="W365" s="299"/>
      <c r="X365" s="299"/>
      <c r="Y365" s="299"/>
      <c r="Z365" s="299"/>
      <c r="AA365" s="299"/>
      <c r="AB365" s="299"/>
      <c r="AC365" s="299"/>
      <c r="AD365" s="299"/>
      <c r="AE365" s="299"/>
      <c r="AF365" s="299"/>
      <c r="AG365" s="299"/>
      <c r="AH365" s="299"/>
      <c r="AI365" s="299"/>
      <c r="AJ365" s="299"/>
      <c r="AK365" s="299"/>
      <c r="AL365" s="299"/>
      <c r="AM365" s="299"/>
      <c r="AN365" s="299"/>
      <c r="AO365" s="299"/>
      <c r="AP365" s="299"/>
      <c r="AQ365" s="299"/>
      <c r="AR365" s="299"/>
      <c r="AS365" s="254"/>
      <c r="AT365" s="254"/>
      <c r="AU365" s="254"/>
      <c r="AV365" s="254"/>
      <c r="AW365" s="254"/>
      <c r="AX365" s="254"/>
      <c r="AY365" s="254"/>
      <c r="AZ365" s="254"/>
      <c r="BA365" s="254"/>
      <c r="BB365" s="254"/>
      <c r="BC365" s="254"/>
      <c r="BD365" s="254"/>
      <c r="BE365" s="254"/>
      <c r="BF365" s="254"/>
      <c r="BG365" s="254"/>
      <c r="BH365" s="254"/>
      <c r="BI365" s="254"/>
      <c r="BJ365" s="254"/>
      <c r="BK365" s="254"/>
      <c r="BL365" s="254"/>
      <c r="BM365" s="254"/>
      <c r="BN365" s="254"/>
      <c r="BO365" s="254"/>
      <c r="BP365" s="254"/>
      <c r="BQ365" s="254"/>
      <c r="BR365" s="254"/>
      <c r="BS365" s="254"/>
      <c r="BT365" s="254"/>
      <c r="BU365" s="254"/>
      <c r="BV365" s="254"/>
      <c r="BW365" s="254"/>
      <c r="BX365" s="254"/>
      <c r="BY365" s="254"/>
      <c r="BZ365" s="254"/>
      <c r="CA365" s="254"/>
      <c r="CB365" s="254"/>
      <c r="CC365" s="254"/>
      <c r="CD365" s="254"/>
      <c r="CE365" s="254"/>
      <c r="CF365" s="254"/>
      <c r="CG365" s="254"/>
      <c r="CH365" s="254"/>
      <c r="CI365" s="254"/>
      <c r="CJ365" s="254"/>
      <c r="CK365" s="254"/>
      <c r="CL365" s="254"/>
      <c r="CM365" s="254"/>
      <c r="CN365" s="254"/>
      <c r="CO365" s="254"/>
      <c r="CP365" s="254"/>
      <c r="CQ365" s="254"/>
      <c r="CR365" s="254"/>
      <c r="CS365" s="254"/>
      <c r="CT365" s="254"/>
      <c r="CU365" s="254"/>
      <c r="CV365" s="254"/>
      <c r="CW365" s="254"/>
    </row>
    <row r="366" spans="1:101" s="38" customFormat="1" ht="40.5" customHeight="1">
      <c r="A366" s="353">
        <v>76</v>
      </c>
      <c r="B366" s="335">
        <v>784</v>
      </c>
      <c r="C366" s="335" t="s">
        <v>379</v>
      </c>
      <c r="D366" s="335" t="s">
        <v>380</v>
      </c>
      <c r="E366" s="335" t="s">
        <v>30</v>
      </c>
      <c r="F366" s="337">
        <f>SUM(F369:F372)</f>
        <v>415.99999999999994</v>
      </c>
      <c r="G366" s="355"/>
      <c r="H366" s="355">
        <f>F366*G366</f>
        <v>0</v>
      </c>
      <c r="I366" s="364" t="s">
        <v>57</v>
      </c>
      <c r="J366" s="369"/>
    </row>
    <row r="367" spans="1:101" s="38" customFormat="1" ht="13.5" customHeight="1">
      <c r="A367" s="353"/>
      <c r="B367" s="335"/>
      <c r="C367" s="335"/>
      <c r="D367" s="362" t="s">
        <v>381</v>
      </c>
      <c r="E367" s="335"/>
      <c r="F367" s="337"/>
      <c r="G367" s="355"/>
      <c r="H367" s="355"/>
      <c r="I367" s="364"/>
      <c r="J367" s="139"/>
    </row>
    <row r="368" spans="1:101" s="38" customFormat="1" ht="13.5" customHeight="1">
      <c r="A368" s="353"/>
      <c r="B368" s="335"/>
      <c r="C368" s="335"/>
      <c r="D368" s="362" t="s">
        <v>382</v>
      </c>
      <c r="E368" s="335"/>
      <c r="F368" s="337"/>
      <c r="G368" s="355"/>
      <c r="H368" s="355"/>
      <c r="I368" s="218"/>
      <c r="J368" s="139"/>
    </row>
    <row r="369" spans="1:10" s="38" customFormat="1" ht="13.5" customHeight="1">
      <c r="A369" s="353"/>
      <c r="B369" s="335"/>
      <c r="C369" s="335"/>
      <c r="D369" s="111" t="s">
        <v>387</v>
      </c>
      <c r="E369" s="75"/>
      <c r="F369" s="77">
        <f>(174.75)*2</f>
        <v>349.5</v>
      </c>
      <c r="G369" s="355"/>
      <c r="H369" s="355"/>
      <c r="I369" s="364"/>
      <c r="J369" s="139"/>
    </row>
    <row r="370" spans="1:10" s="38" customFormat="1" ht="13.5" customHeight="1">
      <c r="A370" s="353"/>
      <c r="B370" s="335"/>
      <c r="C370" s="335"/>
      <c r="D370" s="111" t="s">
        <v>388</v>
      </c>
      <c r="E370" s="75"/>
      <c r="F370" s="77">
        <f>(63.15)*1</f>
        <v>63.15</v>
      </c>
      <c r="G370" s="355"/>
      <c r="H370" s="355"/>
      <c r="I370" s="364"/>
    </row>
    <row r="371" spans="1:10" s="38" customFormat="1" ht="13.5" customHeight="1">
      <c r="A371" s="353"/>
      <c r="B371" s="335"/>
      <c r="C371" s="335"/>
      <c r="D371" s="111" t="s">
        <v>389</v>
      </c>
      <c r="E371" s="75"/>
      <c r="F371" s="77">
        <f>(52.12+117.88+2.77)*1</f>
        <v>172.77</v>
      </c>
      <c r="G371" s="355"/>
      <c r="H371" s="355"/>
      <c r="I371" s="364"/>
    </row>
    <row r="372" spans="1:10" s="38" customFormat="1" ht="13.5" customHeight="1">
      <c r="A372" s="74"/>
      <c r="B372" s="75"/>
      <c r="C372" s="75"/>
      <c r="D372" s="111" t="s">
        <v>391</v>
      </c>
      <c r="E372" s="75"/>
      <c r="F372" s="77">
        <f>-(501.32-331.9)</f>
        <v>-169.42000000000002</v>
      </c>
      <c r="G372" s="78"/>
      <c r="H372" s="78"/>
      <c r="I372" s="101"/>
      <c r="J372" s="282"/>
    </row>
    <row r="373" spans="1:10" s="38" customFormat="1" ht="13.5" customHeight="1">
      <c r="A373" s="67">
        <v>77</v>
      </c>
      <c r="B373" s="69">
        <v>784</v>
      </c>
      <c r="C373" s="69">
        <v>784181101</v>
      </c>
      <c r="D373" s="69" t="s">
        <v>324</v>
      </c>
      <c r="E373" s="69" t="s">
        <v>30</v>
      </c>
      <c r="F373" s="100">
        <f>F381</f>
        <v>252.22999999999996</v>
      </c>
      <c r="G373" s="71"/>
      <c r="H373" s="71">
        <f>F373*G373</f>
        <v>0</v>
      </c>
      <c r="I373" s="101" t="s">
        <v>31</v>
      </c>
      <c r="J373" s="139"/>
    </row>
    <row r="374" spans="1:10" s="38" customFormat="1" ht="27" customHeight="1">
      <c r="A374" s="353">
        <v>78</v>
      </c>
      <c r="B374" s="335">
        <v>784</v>
      </c>
      <c r="C374" s="335" t="s">
        <v>383</v>
      </c>
      <c r="D374" s="335" t="s">
        <v>384</v>
      </c>
      <c r="E374" s="335" t="s">
        <v>30</v>
      </c>
      <c r="F374" s="337">
        <f>SUM(F377:F380)</f>
        <v>415.99999999999994</v>
      </c>
      <c r="G374" s="355"/>
      <c r="H374" s="355">
        <f>F374*G374</f>
        <v>0</v>
      </c>
      <c r="I374" s="364" t="s">
        <v>57</v>
      </c>
      <c r="J374" s="369"/>
    </row>
    <row r="375" spans="1:10" s="38" customFormat="1" ht="13.5" customHeight="1">
      <c r="A375" s="353"/>
      <c r="B375" s="335"/>
      <c r="C375" s="335"/>
      <c r="D375" s="362" t="s">
        <v>385</v>
      </c>
      <c r="E375" s="335"/>
      <c r="F375" s="337"/>
      <c r="G375" s="355"/>
      <c r="H375" s="355"/>
      <c r="I375" s="364"/>
    </row>
    <row r="376" spans="1:10" s="38" customFormat="1" ht="54" customHeight="1">
      <c r="A376" s="353"/>
      <c r="B376" s="335"/>
      <c r="C376" s="335"/>
      <c r="D376" s="362" t="s">
        <v>386</v>
      </c>
      <c r="E376" s="335"/>
      <c r="F376" s="337"/>
      <c r="G376" s="355"/>
      <c r="H376" s="355"/>
      <c r="I376" s="218"/>
      <c r="J376" s="139"/>
    </row>
    <row r="377" spans="1:10" s="38" customFormat="1" ht="13.5" customHeight="1">
      <c r="A377" s="353"/>
      <c r="B377" s="335"/>
      <c r="C377" s="335"/>
      <c r="D377" s="111" t="s">
        <v>326</v>
      </c>
      <c r="E377" s="75"/>
      <c r="F377" s="77">
        <f>(174.75)*2</f>
        <v>349.5</v>
      </c>
      <c r="G377" s="355"/>
      <c r="H377" s="355"/>
      <c r="I377" s="364"/>
      <c r="J377" s="139"/>
    </row>
    <row r="378" spans="1:10" s="38" customFormat="1" ht="13.5" customHeight="1">
      <c r="A378" s="353"/>
      <c r="B378" s="335"/>
      <c r="C378" s="335"/>
      <c r="D378" s="111" t="s">
        <v>360</v>
      </c>
      <c r="E378" s="75"/>
      <c r="F378" s="77">
        <f>(63.15)*1</f>
        <v>63.15</v>
      </c>
      <c r="G378" s="355"/>
      <c r="H378" s="355"/>
      <c r="I378" s="364"/>
    </row>
    <row r="379" spans="1:10" s="38" customFormat="1" ht="13.5" customHeight="1">
      <c r="A379" s="353"/>
      <c r="B379" s="335"/>
      <c r="C379" s="335"/>
      <c r="D379" s="111" t="s">
        <v>327</v>
      </c>
      <c r="E379" s="75"/>
      <c r="F379" s="77">
        <f>(52.12+117.88+2.77)*1</f>
        <v>172.77</v>
      </c>
      <c r="G379" s="355"/>
      <c r="H379" s="355"/>
      <c r="I379" s="364"/>
    </row>
    <row r="380" spans="1:10" s="38" customFormat="1" ht="13.5" customHeight="1">
      <c r="A380" s="74"/>
      <c r="B380" s="75"/>
      <c r="C380" s="75"/>
      <c r="D380" s="111" t="s">
        <v>391</v>
      </c>
      <c r="E380" s="75"/>
      <c r="F380" s="77">
        <f>-(501.32-331.9)</f>
        <v>-169.42000000000002</v>
      </c>
      <c r="G380" s="78"/>
      <c r="H380" s="78"/>
      <c r="I380" s="101"/>
      <c r="J380" s="282"/>
    </row>
    <row r="381" spans="1:10" s="38" customFormat="1" ht="27" customHeight="1">
      <c r="A381" s="67">
        <v>79</v>
      </c>
      <c r="B381" s="69">
        <v>784</v>
      </c>
      <c r="C381" s="69">
        <v>784211101</v>
      </c>
      <c r="D381" s="69" t="s">
        <v>325</v>
      </c>
      <c r="E381" s="69" t="s">
        <v>30</v>
      </c>
      <c r="F381" s="100">
        <f>SUM(F382:F385)</f>
        <v>252.22999999999996</v>
      </c>
      <c r="G381" s="71"/>
      <c r="H381" s="71">
        <f>F381*G381</f>
        <v>0</v>
      </c>
      <c r="I381" s="101" t="s">
        <v>31</v>
      </c>
      <c r="J381" s="268"/>
    </row>
    <row r="382" spans="1:10" s="38" customFormat="1" ht="13.5" customHeight="1">
      <c r="A382" s="74"/>
      <c r="B382" s="75"/>
      <c r="C382" s="75"/>
      <c r="D382" s="111" t="s">
        <v>328</v>
      </c>
      <c r="E382" s="75"/>
      <c r="F382" s="77">
        <f>(4.3)*1</f>
        <v>4.3</v>
      </c>
      <c r="G382" s="78"/>
      <c r="H382" s="78"/>
      <c r="I382" s="101"/>
      <c r="J382" s="268"/>
    </row>
    <row r="383" spans="1:10" s="38" customFormat="1" ht="13.5" customHeight="1">
      <c r="A383" s="74"/>
      <c r="B383" s="75"/>
      <c r="C383" s="75"/>
      <c r="D383" s="111" t="s">
        <v>329</v>
      </c>
      <c r="E383" s="75"/>
      <c r="F383" s="77">
        <f>(251.63)</f>
        <v>251.63</v>
      </c>
      <c r="G383" s="78"/>
      <c r="H383" s="78"/>
      <c r="I383" s="101"/>
      <c r="J383" s="282"/>
    </row>
    <row r="384" spans="1:10" s="38" customFormat="1" ht="13.5" customHeight="1">
      <c r="A384" s="74"/>
      <c r="B384" s="75"/>
      <c r="C384" s="75"/>
      <c r="D384" s="111" t="s">
        <v>330</v>
      </c>
      <c r="E384" s="75"/>
      <c r="F384" s="77">
        <f>(328.2)</f>
        <v>328.2</v>
      </c>
      <c r="G384" s="78"/>
      <c r="H384" s="78"/>
      <c r="I384" s="101"/>
      <c r="J384" s="282"/>
    </row>
    <row r="385" spans="1:101" s="38" customFormat="1" ht="13.5" customHeight="1">
      <c r="A385" s="74"/>
      <c r="B385" s="75"/>
      <c r="C385" s="75"/>
      <c r="D385" s="111" t="s">
        <v>390</v>
      </c>
      <c r="E385" s="75"/>
      <c r="F385" s="77">
        <f>-(39.9+82.8+81+80.9+35+12.3)</f>
        <v>-331.90000000000003</v>
      </c>
      <c r="G385" s="78"/>
      <c r="H385" s="78"/>
      <c r="I385" s="101"/>
      <c r="J385" s="371"/>
    </row>
    <row r="386" spans="1:101" s="38" customFormat="1" ht="27" customHeight="1">
      <c r="A386" s="67">
        <v>80</v>
      </c>
      <c r="B386" s="69">
        <v>784</v>
      </c>
      <c r="C386" s="69">
        <v>784211151</v>
      </c>
      <c r="D386" s="69" t="s">
        <v>331</v>
      </c>
      <c r="E386" s="69" t="s">
        <v>30</v>
      </c>
      <c r="F386" s="100">
        <f>SUM(F387:F387)</f>
        <v>668.23</v>
      </c>
      <c r="G386" s="71"/>
      <c r="H386" s="71">
        <f>F386*G386</f>
        <v>0</v>
      </c>
      <c r="I386" s="101" t="s">
        <v>31</v>
      </c>
      <c r="J386" s="52"/>
    </row>
    <row r="387" spans="1:101" s="38" customFormat="1" ht="13.5" customHeight="1">
      <c r="A387" s="74"/>
      <c r="B387" s="75"/>
      <c r="C387" s="75"/>
      <c r="D387" s="111" t="s">
        <v>398</v>
      </c>
      <c r="E387" s="75"/>
      <c r="F387" s="77">
        <f>416+252.23</f>
        <v>668.23</v>
      </c>
      <c r="G387" s="78"/>
      <c r="H387" s="78"/>
      <c r="I387" s="101"/>
    </row>
    <row r="388" spans="1:101" s="273" customFormat="1" ht="13.5" customHeight="1">
      <c r="A388" s="67">
        <v>81</v>
      </c>
      <c r="B388" s="68" t="s">
        <v>50</v>
      </c>
      <c r="C388" s="69" t="s">
        <v>332</v>
      </c>
      <c r="D388" s="69" t="s">
        <v>333</v>
      </c>
      <c r="E388" s="69" t="s">
        <v>53</v>
      </c>
      <c r="F388" s="100">
        <f>F389</f>
        <v>20</v>
      </c>
      <c r="G388" s="71"/>
      <c r="H388" s="71">
        <f>F388*G388</f>
        <v>0</v>
      </c>
      <c r="I388" s="101" t="s">
        <v>31</v>
      </c>
      <c r="J388" s="299"/>
      <c r="K388" s="299"/>
      <c r="L388" s="299"/>
      <c r="M388" s="299"/>
      <c r="N388" s="299"/>
      <c r="O388" s="299"/>
      <c r="P388" s="299"/>
      <c r="Q388" s="299"/>
      <c r="R388" s="299"/>
      <c r="S388" s="299"/>
      <c r="T388" s="299"/>
      <c r="U388" s="299"/>
      <c r="V388" s="299"/>
      <c r="W388" s="299"/>
      <c r="X388" s="299"/>
      <c r="Y388" s="299"/>
      <c r="Z388" s="299"/>
      <c r="AA388" s="299"/>
      <c r="AB388" s="299"/>
      <c r="AC388" s="299"/>
      <c r="AD388" s="299"/>
      <c r="AE388" s="299"/>
      <c r="AF388" s="299"/>
      <c r="AG388" s="299"/>
      <c r="AH388" s="299"/>
      <c r="AI388" s="299"/>
      <c r="AJ388" s="299"/>
      <c r="AK388" s="299"/>
      <c r="AL388" s="299"/>
      <c r="AM388" s="299"/>
      <c r="AN388" s="299"/>
      <c r="AO388" s="299"/>
      <c r="AP388" s="299"/>
      <c r="AQ388" s="299"/>
      <c r="AR388" s="299"/>
      <c r="AS388" s="252"/>
      <c r="AT388" s="252"/>
      <c r="AU388" s="252"/>
      <c r="AV388" s="252"/>
      <c r="AW388" s="252"/>
      <c r="AX388" s="252"/>
      <c r="AY388" s="252"/>
      <c r="AZ388" s="252"/>
      <c r="BA388" s="252"/>
      <c r="BB388" s="252"/>
      <c r="BC388" s="252"/>
      <c r="BD388" s="252"/>
      <c r="BE388" s="252"/>
      <c r="BF388" s="252"/>
      <c r="BG388" s="252"/>
      <c r="BH388" s="252"/>
      <c r="BI388" s="252"/>
      <c r="BJ388" s="252"/>
      <c r="BK388" s="252"/>
      <c r="BL388" s="252"/>
      <c r="BM388" s="252"/>
      <c r="BN388" s="252"/>
      <c r="BO388" s="252"/>
      <c r="BP388" s="252"/>
      <c r="BQ388" s="252"/>
      <c r="BR388" s="252"/>
      <c r="BS388" s="252"/>
      <c r="BT388" s="252"/>
      <c r="BU388" s="252"/>
      <c r="BV388" s="252"/>
      <c r="BW388" s="252"/>
      <c r="BX388" s="252"/>
      <c r="BY388" s="252"/>
      <c r="BZ388" s="252"/>
      <c r="CA388" s="252"/>
      <c r="CB388" s="252"/>
      <c r="CC388" s="252"/>
      <c r="CD388" s="252"/>
      <c r="CE388" s="252"/>
      <c r="CF388" s="252"/>
      <c r="CG388" s="252"/>
      <c r="CH388" s="252"/>
      <c r="CI388" s="252"/>
      <c r="CJ388" s="252"/>
      <c r="CK388" s="252"/>
      <c r="CL388" s="252"/>
      <c r="CM388" s="252"/>
      <c r="CN388" s="252"/>
      <c r="CO388" s="252"/>
      <c r="CP388" s="252"/>
      <c r="CQ388" s="252"/>
      <c r="CR388" s="252"/>
      <c r="CS388" s="252"/>
      <c r="CT388" s="252"/>
      <c r="CU388" s="252"/>
      <c r="CV388" s="252"/>
      <c r="CW388" s="252"/>
    </row>
    <row r="389" spans="1:101" s="8" customFormat="1" ht="13.5" customHeight="1">
      <c r="A389" s="112"/>
      <c r="B389" s="114"/>
      <c r="C389" s="114"/>
      <c r="D389" s="76" t="s">
        <v>334</v>
      </c>
      <c r="E389" s="114"/>
      <c r="F389" s="77">
        <v>20</v>
      </c>
      <c r="G389" s="144"/>
      <c r="H389" s="71"/>
      <c r="I389" s="110"/>
      <c r="J389" s="207"/>
      <c r="K389" s="207"/>
      <c r="L389" s="207"/>
      <c r="M389" s="207"/>
      <c r="N389" s="207"/>
      <c r="O389" s="207"/>
      <c r="P389" s="207"/>
      <c r="Q389" s="207"/>
      <c r="R389" s="207"/>
      <c r="S389" s="207"/>
      <c r="T389" s="207"/>
      <c r="U389" s="207"/>
      <c r="V389" s="207"/>
      <c r="W389" s="207"/>
      <c r="X389" s="207"/>
      <c r="Y389" s="207"/>
      <c r="Z389" s="207"/>
      <c r="AA389" s="207"/>
      <c r="AB389" s="207"/>
      <c r="AC389" s="207"/>
      <c r="AD389" s="207"/>
      <c r="AE389" s="207"/>
      <c r="AF389" s="207"/>
      <c r="AG389" s="207"/>
      <c r="AH389" s="207"/>
      <c r="AI389" s="207"/>
      <c r="AJ389" s="207"/>
      <c r="AK389" s="207"/>
      <c r="AL389" s="207"/>
      <c r="AM389" s="207"/>
      <c r="AN389" s="207"/>
      <c r="AO389" s="207"/>
      <c r="AP389" s="207"/>
      <c r="AQ389" s="207"/>
      <c r="AR389" s="207"/>
      <c r="AS389" s="73"/>
      <c r="AT389" s="73"/>
      <c r="AU389" s="73"/>
      <c r="AV389" s="73"/>
      <c r="AW389" s="73"/>
      <c r="AX389" s="73"/>
      <c r="AY389" s="73"/>
      <c r="AZ389" s="73"/>
      <c r="BA389" s="73"/>
      <c r="BB389" s="73"/>
      <c r="BC389" s="73"/>
      <c r="BD389" s="73"/>
      <c r="BE389" s="73"/>
      <c r="BF389" s="73"/>
      <c r="BG389" s="73"/>
      <c r="BH389" s="73"/>
      <c r="BI389" s="73"/>
      <c r="BJ389" s="73"/>
      <c r="BK389" s="73"/>
      <c r="BL389" s="73"/>
      <c r="BM389" s="73"/>
      <c r="BN389" s="73"/>
      <c r="BO389" s="73"/>
      <c r="BP389" s="73"/>
      <c r="BQ389" s="73"/>
      <c r="BR389" s="73"/>
      <c r="BS389" s="73"/>
      <c r="BT389" s="73"/>
      <c r="BU389" s="73"/>
      <c r="BV389" s="73"/>
      <c r="BW389" s="73"/>
      <c r="BX389" s="73"/>
      <c r="BY389" s="73"/>
      <c r="BZ389" s="73"/>
      <c r="CA389" s="73"/>
      <c r="CB389" s="73"/>
      <c r="CC389" s="73"/>
      <c r="CD389" s="73"/>
      <c r="CE389" s="73"/>
      <c r="CF389" s="73"/>
      <c r="CG389" s="73"/>
      <c r="CH389" s="73"/>
      <c r="CI389" s="73"/>
      <c r="CJ389" s="73"/>
      <c r="CK389" s="73"/>
      <c r="CL389" s="73"/>
      <c r="CM389" s="73"/>
      <c r="CN389" s="73"/>
      <c r="CO389" s="73"/>
      <c r="CP389" s="73"/>
      <c r="CQ389" s="73"/>
      <c r="CR389" s="73"/>
      <c r="CS389" s="73"/>
      <c r="CT389" s="73"/>
      <c r="CU389" s="73"/>
      <c r="CV389" s="73"/>
      <c r="CW389" s="73"/>
    </row>
    <row r="390" spans="1:101" s="8" customFormat="1" ht="24.75" customHeight="1">
      <c r="A390" s="112"/>
      <c r="B390" s="114"/>
      <c r="C390" s="114"/>
      <c r="D390" s="76" t="s">
        <v>335</v>
      </c>
      <c r="E390" s="114"/>
      <c r="F390" s="77"/>
      <c r="G390" s="144"/>
      <c r="H390" s="71"/>
      <c r="I390" s="110"/>
      <c r="J390" s="207"/>
      <c r="K390" s="207"/>
      <c r="L390" s="207"/>
      <c r="M390" s="207"/>
      <c r="N390" s="207"/>
      <c r="O390" s="207"/>
      <c r="P390" s="207"/>
      <c r="Q390" s="207"/>
      <c r="R390" s="207"/>
      <c r="S390" s="207"/>
      <c r="T390" s="207"/>
      <c r="U390" s="207"/>
      <c r="V390" s="207"/>
      <c r="W390" s="207"/>
      <c r="X390" s="207"/>
      <c r="Y390" s="207"/>
      <c r="Z390" s="207"/>
      <c r="AA390" s="207"/>
      <c r="AB390" s="207"/>
      <c r="AC390" s="207"/>
      <c r="AD390" s="207"/>
      <c r="AE390" s="207"/>
      <c r="AF390" s="207"/>
      <c r="AG390" s="207"/>
      <c r="AH390" s="207"/>
      <c r="AI390" s="207"/>
      <c r="AJ390" s="207"/>
      <c r="AK390" s="207"/>
      <c r="AL390" s="207"/>
      <c r="AM390" s="207"/>
      <c r="AN390" s="207"/>
      <c r="AO390" s="207"/>
      <c r="AP390" s="207"/>
      <c r="AQ390" s="207"/>
      <c r="AR390" s="207"/>
      <c r="AS390" s="73"/>
      <c r="AT390" s="73"/>
      <c r="AU390" s="73"/>
      <c r="AV390" s="73"/>
      <c r="AW390" s="73"/>
      <c r="AX390" s="73"/>
      <c r="AY390" s="73"/>
      <c r="AZ390" s="73"/>
      <c r="BA390" s="73"/>
      <c r="BB390" s="73"/>
      <c r="BC390" s="73"/>
      <c r="BD390" s="73"/>
      <c r="BE390" s="73"/>
      <c r="BF390" s="73"/>
      <c r="BG390" s="73"/>
      <c r="BH390" s="73"/>
      <c r="BI390" s="73"/>
      <c r="BJ390" s="73"/>
      <c r="BK390" s="73"/>
      <c r="BL390" s="73"/>
      <c r="BM390" s="73"/>
      <c r="BN390" s="73"/>
      <c r="BO390" s="73"/>
      <c r="BP390" s="73"/>
      <c r="BQ390" s="73"/>
      <c r="BR390" s="73"/>
      <c r="BS390" s="73"/>
      <c r="BT390" s="73"/>
      <c r="BU390" s="73"/>
      <c r="BV390" s="73"/>
      <c r="BW390" s="73"/>
      <c r="BX390" s="73"/>
      <c r="BY390" s="73"/>
      <c r="BZ390" s="73"/>
      <c r="CA390" s="73"/>
      <c r="CB390" s="73"/>
      <c r="CC390" s="73"/>
      <c r="CD390" s="73"/>
      <c r="CE390" s="73"/>
      <c r="CF390" s="73"/>
      <c r="CG390" s="73"/>
      <c r="CH390" s="73"/>
      <c r="CI390" s="73"/>
      <c r="CJ390" s="73"/>
      <c r="CK390" s="73"/>
      <c r="CL390" s="73"/>
      <c r="CM390" s="73"/>
      <c r="CN390" s="73"/>
      <c r="CO390" s="73"/>
      <c r="CP390" s="73"/>
      <c r="CQ390" s="73"/>
      <c r="CR390" s="73"/>
      <c r="CS390" s="73"/>
      <c r="CT390" s="73"/>
      <c r="CU390" s="73"/>
      <c r="CV390" s="73"/>
      <c r="CW390" s="73"/>
    </row>
    <row r="391" spans="1:101" s="73" customFormat="1" ht="13.5" customHeight="1">
      <c r="A391" s="74"/>
      <c r="B391" s="75"/>
      <c r="C391" s="75">
        <v>790</v>
      </c>
      <c r="D391" s="75" t="s">
        <v>13</v>
      </c>
      <c r="E391" s="75"/>
      <c r="F391" s="158"/>
      <c r="G391" s="78"/>
      <c r="H391" s="78">
        <f>SUM(H392:H404)</f>
        <v>0</v>
      </c>
      <c r="I391" s="101"/>
      <c r="J391" s="208"/>
      <c r="K391" s="207"/>
      <c r="L391" s="207"/>
      <c r="M391" s="207"/>
      <c r="N391" s="207"/>
      <c r="O391" s="207"/>
      <c r="P391" s="207"/>
      <c r="Q391" s="207"/>
      <c r="R391" s="207"/>
      <c r="S391" s="207"/>
      <c r="T391" s="207"/>
      <c r="U391" s="207"/>
      <c r="V391" s="207"/>
      <c r="W391" s="207"/>
      <c r="X391" s="207"/>
      <c r="Y391" s="207"/>
      <c r="Z391" s="207"/>
      <c r="AA391" s="207"/>
      <c r="AB391" s="207"/>
      <c r="AC391" s="207"/>
      <c r="AD391" s="207"/>
      <c r="AE391" s="207"/>
      <c r="AF391" s="207"/>
      <c r="AG391" s="207"/>
      <c r="AH391" s="207"/>
      <c r="AI391" s="207"/>
      <c r="AJ391" s="207"/>
      <c r="AK391" s="207"/>
      <c r="AL391" s="207"/>
      <c r="AM391" s="207"/>
      <c r="AN391" s="207"/>
      <c r="AO391" s="207"/>
      <c r="AP391" s="207"/>
      <c r="AQ391" s="207"/>
      <c r="AR391" s="207"/>
    </row>
    <row r="392" spans="1:101" s="8" customFormat="1" ht="13.5" customHeight="1">
      <c r="A392" s="67">
        <v>82</v>
      </c>
      <c r="B392" s="69">
        <v>790</v>
      </c>
      <c r="C392" s="69" t="s">
        <v>402</v>
      </c>
      <c r="D392" s="69" t="s">
        <v>337</v>
      </c>
      <c r="E392" s="69" t="s">
        <v>49</v>
      </c>
      <c r="F392" s="100">
        <f>F393</f>
        <v>1</v>
      </c>
      <c r="G392" s="71"/>
      <c r="H392" s="71">
        <f>F392*G392</f>
        <v>0</v>
      </c>
      <c r="I392" s="160" t="s">
        <v>57</v>
      </c>
      <c r="J392" s="207"/>
      <c r="K392" s="207"/>
      <c r="L392" s="207"/>
      <c r="M392" s="207"/>
      <c r="N392" s="207"/>
      <c r="O392" s="207"/>
      <c r="P392" s="207"/>
      <c r="Q392" s="207"/>
      <c r="R392" s="207"/>
      <c r="S392" s="207"/>
      <c r="T392" s="207"/>
      <c r="U392" s="207"/>
      <c r="V392" s="207"/>
      <c r="W392" s="207"/>
      <c r="X392" s="207"/>
      <c r="Y392" s="207"/>
      <c r="Z392" s="207"/>
      <c r="AA392" s="207"/>
      <c r="AB392" s="207"/>
      <c r="AC392" s="207"/>
      <c r="AD392" s="207"/>
      <c r="AE392" s="207"/>
      <c r="AF392" s="207"/>
      <c r="AG392" s="207"/>
      <c r="AH392" s="207"/>
      <c r="AI392" s="207"/>
      <c r="AJ392" s="207"/>
      <c r="AK392" s="207"/>
      <c r="AL392" s="207"/>
      <c r="AM392" s="207"/>
      <c r="AN392" s="207"/>
      <c r="AO392" s="207"/>
      <c r="AP392" s="207"/>
      <c r="AQ392" s="207"/>
      <c r="AR392" s="207"/>
      <c r="AS392" s="73"/>
      <c r="AT392" s="73"/>
      <c r="AU392" s="73"/>
      <c r="AV392" s="73"/>
      <c r="AW392" s="73"/>
      <c r="AX392" s="73"/>
      <c r="AY392" s="73"/>
      <c r="AZ392" s="73"/>
      <c r="BA392" s="73"/>
      <c r="BB392" s="73"/>
      <c r="BC392" s="73"/>
      <c r="BD392" s="73"/>
      <c r="BE392" s="73"/>
      <c r="BF392" s="73"/>
      <c r="BG392" s="73"/>
      <c r="BH392" s="73"/>
      <c r="BI392" s="73"/>
      <c r="BJ392" s="73"/>
      <c r="BK392" s="73"/>
      <c r="BL392" s="73"/>
      <c r="BM392" s="73"/>
      <c r="BN392" s="73"/>
      <c r="BO392" s="73"/>
      <c r="BP392" s="73"/>
      <c r="BQ392" s="73"/>
      <c r="BR392" s="73"/>
      <c r="BS392" s="73"/>
      <c r="BT392" s="73"/>
      <c r="BU392" s="73"/>
      <c r="BV392" s="73"/>
      <c r="BW392" s="73"/>
      <c r="BX392" s="73"/>
      <c r="BY392" s="73"/>
      <c r="BZ392" s="73"/>
      <c r="CA392" s="73"/>
      <c r="CB392" s="73"/>
      <c r="CC392" s="73"/>
      <c r="CD392" s="73"/>
      <c r="CE392" s="73"/>
      <c r="CF392" s="73"/>
      <c r="CG392" s="73"/>
      <c r="CH392" s="73"/>
      <c r="CI392" s="73"/>
      <c r="CJ392" s="73"/>
      <c r="CK392" s="73"/>
      <c r="CL392" s="73"/>
      <c r="CM392" s="73"/>
      <c r="CN392" s="73"/>
      <c r="CO392" s="73"/>
      <c r="CP392" s="73"/>
      <c r="CQ392" s="73"/>
      <c r="CR392" s="73"/>
      <c r="CS392" s="73"/>
      <c r="CT392" s="73"/>
      <c r="CU392" s="73"/>
      <c r="CV392" s="73"/>
      <c r="CW392" s="73"/>
    </row>
    <row r="393" spans="1:101" s="8" customFormat="1" ht="67.5" customHeight="1">
      <c r="A393" s="67"/>
      <c r="B393" s="69"/>
      <c r="C393" s="69"/>
      <c r="D393" s="76" t="s">
        <v>338</v>
      </c>
      <c r="E393" s="69"/>
      <c r="F393" s="77">
        <v>1</v>
      </c>
      <c r="G393" s="71"/>
      <c r="H393" s="71"/>
      <c r="I393" s="101"/>
      <c r="J393" s="207"/>
      <c r="K393" s="207"/>
      <c r="L393" s="207"/>
      <c r="M393" s="207"/>
      <c r="N393" s="207"/>
      <c r="O393" s="207"/>
      <c r="P393" s="207"/>
      <c r="Q393" s="207"/>
      <c r="R393" s="207"/>
      <c r="S393" s="207"/>
      <c r="T393" s="207"/>
      <c r="U393" s="207"/>
      <c r="V393" s="207"/>
      <c r="W393" s="207"/>
      <c r="X393" s="207"/>
      <c r="Y393" s="207"/>
      <c r="Z393" s="207"/>
      <c r="AA393" s="207"/>
      <c r="AB393" s="207"/>
      <c r="AC393" s="207"/>
      <c r="AD393" s="207"/>
      <c r="AE393" s="207"/>
      <c r="AF393" s="207"/>
      <c r="AG393" s="207"/>
      <c r="AH393" s="207"/>
      <c r="AI393" s="207"/>
      <c r="AJ393" s="207"/>
      <c r="AK393" s="207"/>
      <c r="AL393" s="207"/>
      <c r="AM393" s="207"/>
      <c r="AN393" s="207"/>
      <c r="AO393" s="207"/>
      <c r="AP393" s="207"/>
      <c r="AQ393" s="207"/>
      <c r="AR393" s="207"/>
      <c r="AS393" s="73"/>
      <c r="AT393" s="73"/>
      <c r="AU393" s="73"/>
      <c r="AV393" s="73"/>
      <c r="AW393" s="73"/>
      <c r="AX393" s="73"/>
      <c r="AY393" s="73"/>
      <c r="AZ393" s="73"/>
      <c r="BA393" s="73"/>
      <c r="BB393" s="73"/>
      <c r="BC393" s="73"/>
      <c r="BD393" s="73"/>
      <c r="BE393" s="73"/>
      <c r="BF393" s="73"/>
      <c r="BG393" s="73"/>
      <c r="BH393" s="73"/>
      <c r="BI393" s="73"/>
      <c r="BJ393" s="73"/>
      <c r="BK393" s="73"/>
      <c r="BL393" s="73"/>
      <c r="BM393" s="73"/>
      <c r="BN393" s="73"/>
      <c r="BO393" s="73"/>
      <c r="BP393" s="73"/>
      <c r="BQ393" s="73"/>
      <c r="BR393" s="73"/>
      <c r="BS393" s="73"/>
      <c r="BT393" s="73"/>
      <c r="BU393" s="73"/>
      <c r="BV393" s="73"/>
      <c r="BW393" s="73"/>
      <c r="BX393" s="73"/>
      <c r="BY393" s="73"/>
      <c r="BZ393" s="73"/>
      <c r="CA393" s="73"/>
      <c r="CB393" s="73"/>
      <c r="CC393" s="73"/>
      <c r="CD393" s="73"/>
      <c r="CE393" s="73"/>
      <c r="CF393" s="73"/>
      <c r="CG393" s="73"/>
      <c r="CH393" s="73"/>
      <c r="CI393" s="73"/>
      <c r="CJ393" s="73"/>
      <c r="CK393" s="73"/>
      <c r="CL393" s="73"/>
      <c r="CM393" s="73"/>
      <c r="CN393" s="73"/>
      <c r="CO393" s="73"/>
      <c r="CP393" s="73"/>
      <c r="CQ393" s="73"/>
      <c r="CR393" s="73"/>
      <c r="CS393" s="73"/>
      <c r="CT393" s="73"/>
      <c r="CU393" s="73"/>
      <c r="CV393" s="73"/>
      <c r="CW393" s="73"/>
    </row>
    <row r="394" spans="1:101" s="8" customFormat="1" ht="13.5" customHeight="1">
      <c r="A394" s="161"/>
      <c r="B394" s="67"/>
      <c r="C394" s="75"/>
      <c r="D394" s="76" t="s">
        <v>339</v>
      </c>
      <c r="E394" s="69"/>
      <c r="F394" s="162"/>
      <c r="G394" s="163"/>
      <c r="H394" s="78"/>
      <c r="I394" s="164"/>
      <c r="J394" s="207"/>
      <c r="K394" s="207"/>
      <c r="L394" s="207"/>
      <c r="M394" s="207"/>
      <c r="N394" s="207"/>
      <c r="O394" s="207"/>
      <c r="P394" s="207"/>
      <c r="Q394" s="207"/>
      <c r="R394" s="207"/>
      <c r="S394" s="207"/>
      <c r="T394" s="207"/>
      <c r="U394" s="207"/>
      <c r="V394" s="207"/>
      <c r="W394" s="207"/>
      <c r="X394" s="207"/>
      <c r="Y394" s="207"/>
      <c r="Z394" s="207"/>
      <c r="AA394" s="207"/>
      <c r="AB394" s="207"/>
      <c r="AC394" s="207"/>
      <c r="AD394" s="207"/>
      <c r="AE394" s="207"/>
      <c r="AF394" s="207"/>
      <c r="AG394" s="207"/>
      <c r="AH394" s="207"/>
      <c r="AI394" s="207"/>
      <c r="AJ394" s="207"/>
      <c r="AK394" s="207"/>
      <c r="AL394" s="207"/>
      <c r="AM394" s="207"/>
      <c r="AN394" s="207"/>
      <c r="AO394" s="207"/>
      <c r="AP394" s="207"/>
      <c r="AQ394" s="207"/>
      <c r="AR394" s="207"/>
      <c r="AS394" s="73"/>
      <c r="AT394" s="73"/>
      <c r="AU394" s="73"/>
      <c r="AV394" s="73"/>
      <c r="AW394" s="73"/>
      <c r="AX394" s="73"/>
      <c r="AY394" s="73"/>
      <c r="AZ394" s="73"/>
      <c r="BA394" s="73"/>
      <c r="BB394" s="73"/>
      <c r="BC394" s="73"/>
      <c r="BD394" s="73"/>
      <c r="BE394" s="73"/>
      <c r="BF394" s="73"/>
      <c r="BG394" s="73"/>
      <c r="BH394" s="73"/>
      <c r="BI394" s="73"/>
      <c r="BJ394" s="73"/>
      <c r="BK394" s="73"/>
      <c r="BL394" s="73"/>
      <c r="BM394" s="73"/>
      <c r="BN394" s="73"/>
      <c r="BO394" s="73"/>
      <c r="BP394" s="73"/>
      <c r="BQ394" s="73"/>
      <c r="BR394" s="73"/>
      <c r="BS394" s="73"/>
      <c r="BT394" s="73"/>
      <c r="BU394" s="73"/>
      <c r="BV394" s="73"/>
      <c r="BW394" s="73"/>
      <c r="BX394" s="73"/>
      <c r="BY394" s="73"/>
      <c r="BZ394" s="73"/>
      <c r="CA394" s="73"/>
      <c r="CB394" s="73"/>
      <c r="CC394" s="73"/>
      <c r="CD394" s="73"/>
      <c r="CE394" s="73"/>
      <c r="CF394" s="73"/>
      <c r="CG394" s="73"/>
      <c r="CH394" s="73"/>
      <c r="CI394" s="73"/>
      <c r="CJ394" s="73"/>
      <c r="CK394" s="73"/>
      <c r="CL394" s="73"/>
      <c r="CM394" s="73"/>
      <c r="CN394" s="73"/>
      <c r="CO394" s="73"/>
      <c r="CP394" s="73"/>
      <c r="CQ394" s="73"/>
      <c r="CR394" s="73"/>
      <c r="CS394" s="73"/>
      <c r="CT394" s="73"/>
      <c r="CU394" s="73"/>
      <c r="CV394" s="73"/>
      <c r="CW394" s="73"/>
    </row>
    <row r="395" spans="1:101" s="8" customFormat="1" ht="13.5" customHeight="1">
      <c r="A395" s="67">
        <v>83</v>
      </c>
      <c r="B395" s="69">
        <v>790</v>
      </c>
      <c r="C395" s="69" t="s">
        <v>336</v>
      </c>
      <c r="D395" s="69" t="s">
        <v>399</v>
      </c>
      <c r="E395" s="69" t="s">
        <v>41</v>
      </c>
      <c r="F395" s="100">
        <f>F396</f>
        <v>1.9250000000000003</v>
      </c>
      <c r="G395" s="71"/>
      <c r="H395" s="71">
        <f>F395*G395</f>
        <v>0</v>
      </c>
      <c r="I395" s="160" t="s">
        <v>57</v>
      </c>
      <c r="J395" s="207"/>
      <c r="K395" s="207"/>
      <c r="L395" s="207"/>
      <c r="M395" s="207"/>
      <c r="N395" s="207"/>
      <c r="O395" s="207"/>
      <c r="P395" s="207"/>
      <c r="Q395" s="207"/>
      <c r="R395" s="207"/>
      <c r="S395" s="207"/>
      <c r="T395" s="207"/>
      <c r="U395" s="207"/>
      <c r="V395" s="207"/>
      <c r="W395" s="207"/>
      <c r="X395" s="207"/>
      <c r="Y395" s="207"/>
      <c r="Z395" s="207"/>
      <c r="AA395" s="207"/>
      <c r="AB395" s="207"/>
      <c r="AC395" s="207"/>
      <c r="AD395" s="207"/>
      <c r="AE395" s="207"/>
      <c r="AF395" s="207"/>
      <c r="AG395" s="207"/>
      <c r="AH395" s="207"/>
      <c r="AI395" s="207"/>
      <c r="AJ395" s="207"/>
      <c r="AK395" s="207"/>
      <c r="AL395" s="207"/>
      <c r="AM395" s="207"/>
      <c r="AN395" s="207"/>
      <c r="AO395" s="207"/>
      <c r="AP395" s="207"/>
      <c r="AQ395" s="207"/>
      <c r="AR395" s="207"/>
      <c r="AS395" s="73"/>
      <c r="AT395" s="73"/>
      <c r="AU395" s="73"/>
      <c r="AV395" s="73"/>
      <c r="AW395" s="73"/>
      <c r="AX395" s="73"/>
      <c r="AY395" s="73"/>
      <c r="AZ395" s="73"/>
      <c r="BA395" s="73"/>
      <c r="BB395" s="73"/>
      <c r="BC395" s="73"/>
      <c r="BD395" s="73"/>
      <c r="BE395" s="73"/>
      <c r="BF395" s="73"/>
      <c r="BG395" s="73"/>
      <c r="BH395" s="73"/>
      <c r="BI395" s="73"/>
      <c r="BJ395" s="73"/>
      <c r="BK395" s="73"/>
      <c r="BL395" s="73"/>
      <c r="BM395" s="73"/>
      <c r="BN395" s="73"/>
      <c r="BO395" s="73"/>
      <c r="BP395" s="73"/>
      <c r="BQ395" s="73"/>
      <c r="BR395" s="73"/>
      <c r="BS395" s="73"/>
      <c r="BT395" s="73"/>
      <c r="BU395" s="73"/>
      <c r="BV395" s="73"/>
      <c r="BW395" s="73"/>
      <c r="BX395" s="73"/>
      <c r="BY395" s="73"/>
      <c r="BZ395" s="73"/>
      <c r="CA395" s="73"/>
      <c r="CB395" s="73"/>
      <c r="CC395" s="73"/>
      <c r="CD395" s="73"/>
      <c r="CE395" s="73"/>
      <c r="CF395" s="73"/>
      <c r="CG395" s="73"/>
      <c r="CH395" s="73"/>
      <c r="CI395" s="73"/>
      <c r="CJ395" s="73"/>
      <c r="CK395" s="73"/>
      <c r="CL395" s="73"/>
      <c r="CM395" s="73"/>
      <c r="CN395" s="73"/>
      <c r="CO395" s="73"/>
      <c r="CP395" s="73"/>
      <c r="CQ395" s="73"/>
      <c r="CR395" s="73"/>
      <c r="CS395" s="73"/>
      <c r="CT395" s="73"/>
      <c r="CU395" s="73"/>
      <c r="CV395" s="73"/>
      <c r="CW395" s="73"/>
    </row>
    <row r="396" spans="1:101" s="8" customFormat="1" ht="13.5" customHeight="1">
      <c r="A396" s="67"/>
      <c r="B396" s="69"/>
      <c r="C396" s="69"/>
      <c r="D396" s="76" t="s">
        <v>400</v>
      </c>
      <c r="E396" s="69"/>
      <c r="F396" s="77">
        <f>(0.6+0.6+0.55)*1.1</f>
        <v>1.9250000000000003</v>
      </c>
      <c r="G396" s="71"/>
      <c r="H396" s="71"/>
      <c r="I396" s="160"/>
      <c r="J396" s="207"/>
      <c r="K396" s="207"/>
      <c r="L396" s="207"/>
      <c r="M396" s="207"/>
      <c r="N396" s="207"/>
      <c r="O396" s="207"/>
      <c r="P396" s="207"/>
      <c r="Q396" s="207"/>
      <c r="R396" s="207"/>
      <c r="S396" s="207"/>
      <c r="T396" s="207"/>
      <c r="U396" s="207"/>
      <c r="V396" s="207"/>
      <c r="W396" s="207"/>
      <c r="X396" s="207"/>
      <c r="Y396" s="207"/>
      <c r="Z396" s="207"/>
      <c r="AA396" s="207"/>
      <c r="AB396" s="207"/>
      <c r="AC396" s="207"/>
      <c r="AD396" s="207"/>
      <c r="AE396" s="207"/>
      <c r="AF396" s="207"/>
      <c r="AG396" s="207"/>
      <c r="AH396" s="207"/>
      <c r="AI396" s="207"/>
      <c r="AJ396" s="207"/>
      <c r="AK396" s="207"/>
      <c r="AL396" s="207"/>
      <c r="AM396" s="207"/>
      <c r="AN396" s="207"/>
      <c r="AO396" s="207"/>
      <c r="AP396" s="207"/>
      <c r="AQ396" s="207"/>
      <c r="AR396" s="207"/>
      <c r="AS396" s="73"/>
      <c r="AT396" s="73"/>
      <c r="AU396" s="73"/>
      <c r="AV396" s="73"/>
      <c r="AW396" s="73"/>
      <c r="AX396" s="73"/>
      <c r="AY396" s="73"/>
      <c r="AZ396" s="73"/>
      <c r="BA396" s="73"/>
      <c r="BB396" s="73"/>
      <c r="BC396" s="73"/>
      <c r="BD396" s="73"/>
      <c r="BE396" s="73"/>
      <c r="BF396" s="73"/>
      <c r="BG396" s="73"/>
      <c r="BH396" s="73"/>
      <c r="BI396" s="73"/>
      <c r="BJ396" s="73"/>
      <c r="BK396" s="73"/>
      <c r="BL396" s="73"/>
      <c r="BM396" s="73"/>
      <c r="BN396" s="73"/>
      <c r="BO396" s="73"/>
      <c r="BP396" s="73"/>
      <c r="BQ396" s="73"/>
      <c r="BR396" s="73"/>
      <c r="BS396" s="73"/>
      <c r="BT396" s="73"/>
      <c r="BU396" s="73"/>
      <c r="BV396" s="73"/>
      <c r="BW396" s="73"/>
      <c r="BX396" s="73"/>
      <c r="BY396" s="73"/>
      <c r="BZ396" s="73"/>
      <c r="CA396" s="73"/>
      <c r="CB396" s="73"/>
      <c r="CC396" s="73"/>
      <c r="CD396" s="73"/>
      <c r="CE396" s="73"/>
      <c r="CF396" s="73"/>
      <c r="CG396" s="73"/>
      <c r="CH396" s="73"/>
      <c r="CI396" s="73"/>
      <c r="CJ396" s="73"/>
      <c r="CK396" s="73"/>
      <c r="CL396" s="73"/>
      <c r="CM396" s="73"/>
      <c r="CN396" s="73"/>
      <c r="CO396" s="73"/>
      <c r="CP396" s="73"/>
      <c r="CQ396" s="73"/>
      <c r="CR396" s="73"/>
      <c r="CS396" s="73"/>
      <c r="CT396" s="73"/>
      <c r="CU396" s="73"/>
      <c r="CV396" s="73"/>
      <c r="CW396" s="73"/>
    </row>
    <row r="397" spans="1:101" s="8" customFormat="1" ht="27" customHeight="1">
      <c r="A397" s="67"/>
      <c r="B397" s="69"/>
      <c r="C397" s="69"/>
      <c r="D397" s="76" t="s">
        <v>401</v>
      </c>
      <c r="E397" s="69"/>
      <c r="F397" s="73"/>
      <c r="G397" s="71"/>
      <c r="H397" s="71"/>
      <c r="I397" s="101"/>
      <c r="J397" s="207"/>
      <c r="K397" s="207"/>
      <c r="L397" s="207"/>
      <c r="M397" s="207"/>
      <c r="N397" s="207"/>
      <c r="O397" s="207"/>
      <c r="P397" s="207"/>
      <c r="Q397" s="207"/>
      <c r="R397" s="207"/>
      <c r="S397" s="207"/>
      <c r="T397" s="207"/>
      <c r="U397" s="207"/>
      <c r="V397" s="207"/>
      <c r="W397" s="207"/>
      <c r="X397" s="207"/>
      <c r="Y397" s="207"/>
      <c r="Z397" s="207"/>
      <c r="AA397" s="207"/>
      <c r="AB397" s="207"/>
      <c r="AC397" s="207"/>
      <c r="AD397" s="207"/>
      <c r="AE397" s="207"/>
      <c r="AF397" s="207"/>
      <c r="AG397" s="207"/>
      <c r="AH397" s="207"/>
      <c r="AI397" s="207"/>
      <c r="AJ397" s="207"/>
      <c r="AK397" s="207"/>
      <c r="AL397" s="207"/>
      <c r="AM397" s="207"/>
      <c r="AN397" s="207"/>
      <c r="AO397" s="207"/>
      <c r="AP397" s="207"/>
      <c r="AQ397" s="207"/>
      <c r="AR397" s="207"/>
      <c r="AS397" s="73"/>
      <c r="AT397" s="73"/>
      <c r="AU397" s="73"/>
      <c r="AV397" s="73"/>
      <c r="AW397" s="73"/>
      <c r="AX397" s="73"/>
      <c r="AY397" s="73"/>
      <c r="AZ397" s="73"/>
      <c r="BA397" s="73"/>
      <c r="BB397" s="73"/>
      <c r="BC397" s="73"/>
      <c r="BD397" s="73"/>
      <c r="BE397" s="73"/>
      <c r="BF397" s="73"/>
      <c r="BG397" s="73"/>
      <c r="BH397" s="73"/>
      <c r="BI397" s="73"/>
      <c r="BJ397" s="73"/>
      <c r="BK397" s="73"/>
      <c r="BL397" s="73"/>
      <c r="BM397" s="73"/>
      <c r="BN397" s="73"/>
      <c r="BO397" s="73"/>
      <c r="BP397" s="73"/>
      <c r="BQ397" s="73"/>
      <c r="BR397" s="73"/>
      <c r="BS397" s="73"/>
      <c r="BT397" s="73"/>
      <c r="BU397" s="73"/>
      <c r="BV397" s="73"/>
      <c r="BW397" s="73"/>
      <c r="BX397" s="73"/>
      <c r="BY397" s="73"/>
      <c r="BZ397" s="73"/>
      <c r="CA397" s="73"/>
      <c r="CB397" s="73"/>
      <c r="CC397" s="73"/>
      <c r="CD397" s="73"/>
      <c r="CE397" s="73"/>
      <c r="CF397" s="73"/>
      <c r="CG397" s="73"/>
      <c r="CH397" s="73"/>
      <c r="CI397" s="73"/>
      <c r="CJ397" s="73"/>
      <c r="CK397" s="73"/>
      <c r="CL397" s="73"/>
      <c r="CM397" s="73"/>
      <c r="CN397" s="73"/>
      <c r="CO397" s="73"/>
      <c r="CP397" s="73"/>
      <c r="CQ397" s="73"/>
      <c r="CR397" s="73"/>
      <c r="CS397" s="73"/>
      <c r="CT397" s="73"/>
      <c r="CU397" s="73"/>
      <c r="CV397" s="73"/>
      <c r="CW397" s="73"/>
    </row>
    <row r="398" spans="1:101" s="8" customFormat="1" ht="13.5" customHeight="1">
      <c r="A398" s="67">
        <v>84</v>
      </c>
      <c r="B398" s="69">
        <v>790</v>
      </c>
      <c r="C398" s="69" t="s">
        <v>405</v>
      </c>
      <c r="D398" s="69" t="s">
        <v>404</v>
      </c>
      <c r="E398" s="69" t="s">
        <v>41</v>
      </c>
      <c r="F398" s="100">
        <f>F399</f>
        <v>1.1550000000000002</v>
      </c>
      <c r="G398" s="71"/>
      <c r="H398" s="71">
        <f>F398*G398</f>
        <v>0</v>
      </c>
      <c r="I398" s="160" t="s">
        <v>57</v>
      </c>
      <c r="J398" s="207"/>
      <c r="K398" s="207"/>
      <c r="L398" s="207"/>
      <c r="M398" s="207"/>
      <c r="N398" s="207"/>
      <c r="O398" s="207"/>
      <c r="P398" s="207"/>
      <c r="Q398" s="207"/>
      <c r="R398" s="207"/>
      <c r="S398" s="207"/>
      <c r="T398" s="207"/>
      <c r="U398" s="207"/>
      <c r="V398" s="207"/>
      <c r="W398" s="207"/>
      <c r="X398" s="207"/>
      <c r="Y398" s="207"/>
      <c r="Z398" s="207"/>
      <c r="AA398" s="207"/>
      <c r="AB398" s="207"/>
      <c r="AC398" s="207"/>
      <c r="AD398" s="207"/>
      <c r="AE398" s="207"/>
      <c r="AF398" s="207"/>
      <c r="AG398" s="207"/>
      <c r="AH398" s="207"/>
      <c r="AI398" s="207"/>
      <c r="AJ398" s="207"/>
      <c r="AK398" s="207"/>
      <c r="AL398" s="207"/>
      <c r="AM398" s="207"/>
      <c r="AN398" s="207"/>
      <c r="AO398" s="207"/>
      <c r="AP398" s="207"/>
      <c r="AQ398" s="207"/>
      <c r="AR398" s="207"/>
      <c r="AS398" s="73"/>
      <c r="AT398" s="73"/>
      <c r="AU398" s="73"/>
      <c r="AV398" s="73"/>
      <c r="AW398" s="73"/>
      <c r="AX398" s="73"/>
      <c r="AY398" s="73"/>
      <c r="AZ398" s="73"/>
      <c r="BA398" s="73"/>
      <c r="BB398" s="73"/>
      <c r="BC398" s="73"/>
      <c r="BD398" s="73"/>
      <c r="BE398" s="73"/>
      <c r="BF398" s="73"/>
      <c r="BG398" s="73"/>
      <c r="BH398" s="73"/>
      <c r="BI398" s="73"/>
      <c r="BJ398" s="73"/>
      <c r="BK398" s="73"/>
      <c r="BL398" s="73"/>
      <c r="BM398" s="73"/>
      <c r="BN398" s="73"/>
      <c r="BO398" s="73"/>
      <c r="BP398" s="73"/>
      <c r="BQ398" s="73"/>
      <c r="BR398" s="73"/>
      <c r="BS398" s="73"/>
      <c r="BT398" s="73"/>
      <c r="BU398" s="73"/>
      <c r="BV398" s="73"/>
      <c r="BW398" s="73"/>
      <c r="BX398" s="73"/>
      <c r="BY398" s="73"/>
      <c r="BZ398" s="73"/>
      <c r="CA398" s="73"/>
      <c r="CB398" s="73"/>
      <c r="CC398" s="73"/>
      <c r="CD398" s="73"/>
      <c r="CE398" s="73"/>
      <c r="CF398" s="73"/>
      <c r="CG398" s="73"/>
      <c r="CH398" s="73"/>
      <c r="CI398" s="73"/>
      <c r="CJ398" s="73"/>
      <c r="CK398" s="73"/>
      <c r="CL398" s="73"/>
      <c r="CM398" s="73"/>
      <c r="CN398" s="73"/>
      <c r="CO398" s="73"/>
      <c r="CP398" s="73"/>
      <c r="CQ398" s="73"/>
      <c r="CR398" s="73"/>
      <c r="CS398" s="73"/>
      <c r="CT398" s="73"/>
      <c r="CU398" s="73"/>
      <c r="CV398" s="73"/>
      <c r="CW398" s="73"/>
    </row>
    <row r="399" spans="1:101" s="8" customFormat="1" ht="13.5" customHeight="1">
      <c r="A399" s="67"/>
      <c r="B399" s="69"/>
      <c r="C399" s="69"/>
      <c r="D399" s="76" t="s">
        <v>403</v>
      </c>
      <c r="E399" s="69"/>
      <c r="F399" s="77">
        <f>(0.6+0.45)*1.1</f>
        <v>1.1550000000000002</v>
      </c>
      <c r="G399" s="71"/>
      <c r="H399" s="71"/>
      <c r="I399" s="160"/>
      <c r="J399" s="207"/>
      <c r="K399" s="207"/>
      <c r="L399" s="207"/>
      <c r="M399" s="207"/>
      <c r="N399" s="207"/>
      <c r="O399" s="207"/>
      <c r="P399" s="207"/>
      <c r="Q399" s="207"/>
      <c r="R399" s="207"/>
      <c r="S399" s="207"/>
      <c r="T399" s="207"/>
      <c r="U399" s="207"/>
      <c r="V399" s="207"/>
      <c r="W399" s="207"/>
      <c r="X399" s="207"/>
      <c r="Y399" s="207"/>
      <c r="Z399" s="207"/>
      <c r="AA399" s="207"/>
      <c r="AB399" s="207"/>
      <c r="AC399" s="207"/>
      <c r="AD399" s="207"/>
      <c r="AE399" s="207"/>
      <c r="AF399" s="207"/>
      <c r="AG399" s="207"/>
      <c r="AH399" s="207"/>
      <c r="AI399" s="207"/>
      <c r="AJ399" s="207"/>
      <c r="AK399" s="207"/>
      <c r="AL399" s="207"/>
      <c r="AM399" s="207"/>
      <c r="AN399" s="207"/>
      <c r="AO399" s="207"/>
      <c r="AP399" s="207"/>
      <c r="AQ399" s="207"/>
      <c r="AR399" s="207"/>
      <c r="AS399" s="73"/>
      <c r="AT399" s="73"/>
      <c r="AU399" s="73"/>
      <c r="AV399" s="73"/>
      <c r="AW399" s="73"/>
      <c r="AX399" s="73"/>
      <c r="AY399" s="73"/>
      <c r="AZ399" s="73"/>
      <c r="BA399" s="73"/>
      <c r="BB399" s="73"/>
      <c r="BC399" s="73"/>
      <c r="BD399" s="73"/>
      <c r="BE399" s="73"/>
      <c r="BF399" s="73"/>
      <c r="BG399" s="73"/>
      <c r="BH399" s="73"/>
      <c r="BI399" s="73"/>
      <c r="BJ399" s="73"/>
      <c r="BK399" s="73"/>
      <c r="BL399" s="73"/>
      <c r="BM399" s="73"/>
      <c r="BN399" s="73"/>
      <c r="BO399" s="73"/>
      <c r="BP399" s="73"/>
      <c r="BQ399" s="73"/>
      <c r="BR399" s="73"/>
      <c r="BS399" s="73"/>
      <c r="BT399" s="73"/>
      <c r="BU399" s="73"/>
      <c r="BV399" s="73"/>
      <c r="BW399" s="73"/>
      <c r="BX399" s="73"/>
      <c r="BY399" s="73"/>
      <c r="BZ399" s="73"/>
      <c r="CA399" s="73"/>
      <c r="CB399" s="73"/>
      <c r="CC399" s="73"/>
      <c r="CD399" s="73"/>
      <c r="CE399" s="73"/>
      <c r="CF399" s="73"/>
      <c r="CG399" s="73"/>
      <c r="CH399" s="73"/>
      <c r="CI399" s="73"/>
      <c r="CJ399" s="73"/>
      <c r="CK399" s="73"/>
      <c r="CL399" s="73"/>
      <c r="CM399" s="73"/>
      <c r="CN399" s="73"/>
      <c r="CO399" s="73"/>
      <c r="CP399" s="73"/>
      <c r="CQ399" s="73"/>
      <c r="CR399" s="73"/>
      <c r="CS399" s="73"/>
      <c r="CT399" s="73"/>
      <c r="CU399" s="73"/>
      <c r="CV399" s="73"/>
      <c r="CW399" s="73"/>
    </row>
    <row r="400" spans="1:101" s="8" customFormat="1" ht="27" customHeight="1">
      <c r="A400" s="67"/>
      <c r="B400" s="69"/>
      <c r="C400" s="69"/>
      <c r="D400" s="76" t="s">
        <v>401</v>
      </c>
      <c r="E400" s="69"/>
      <c r="F400" s="73"/>
      <c r="G400" s="71"/>
      <c r="H400" s="71"/>
      <c r="I400" s="101"/>
      <c r="J400" s="207"/>
      <c r="K400" s="207"/>
      <c r="L400" s="207"/>
      <c r="M400" s="207"/>
      <c r="N400" s="207"/>
      <c r="O400" s="207"/>
      <c r="P400" s="207"/>
      <c r="Q400" s="207"/>
      <c r="R400" s="207"/>
      <c r="S400" s="207"/>
      <c r="T400" s="207"/>
      <c r="U400" s="207"/>
      <c r="V400" s="207"/>
      <c r="W400" s="207"/>
      <c r="X400" s="207"/>
      <c r="Y400" s="207"/>
      <c r="Z400" s="207"/>
      <c r="AA400" s="207"/>
      <c r="AB400" s="207"/>
      <c r="AC400" s="207"/>
      <c r="AD400" s="207"/>
      <c r="AE400" s="207"/>
      <c r="AF400" s="207"/>
      <c r="AG400" s="207"/>
      <c r="AH400" s="207"/>
      <c r="AI400" s="207"/>
      <c r="AJ400" s="207"/>
      <c r="AK400" s="207"/>
      <c r="AL400" s="207"/>
      <c r="AM400" s="207"/>
      <c r="AN400" s="207"/>
      <c r="AO400" s="207"/>
      <c r="AP400" s="207"/>
      <c r="AQ400" s="207"/>
      <c r="AR400" s="207"/>
      <c r="AS400" s="73"/>
      <c r="AT400" s="73"/>
      <c r="AU400" s="73"/>
      <c r="AV400" s="73"/>
      <c r="AW400" s="73"/>
      <c r="AX400" s="73"/>
      <c r="AY400" s="73"/>
      <c r="AZ400" s="73"/>
      <c r="BA400" s="73"/>
      <c r="BB400" s="73"/>
      <c r="BC400" s="73"/>
      <c r="BD400" s="73"/>
      <c r="BE400" s="73"/>
      <c r="BF400" s="73"/>
      <c r="BG400" s="73"/>
      <c r="BH400" s="73"/>
      <c r="BI400" s="73"/>
      <c r="BJ400" s="73"/>
      <c r="BK400" s="73"/>
      <c r="BL400" s="73"/>
      <c r="BM400" s="73"/>
      <c r="BN400" s="73"/>
      <c r="BO400" s="73"/>
      <c r="BP400" s="73"/>
      <c r="BQ400" s="73"/>
      <c r="BR400" s="73"/>
      <c r="BS400" s="73"/>
      <c r="BT400" s="73"/>
      <c r="BU400" s="73"/>
      <c r="BV400" s="73"/>
      <c r="BW400" s="73"/>
      <c r="BX400" s="73"/>
      <c r="BY400" s="73"/>
      <c r="BZ400" s="73"/>
      <c r="CA400" s="73"/>
      <c r="CB400" s="73"/>
      <c r="CC400" s="73"/>
      <c r="CD400" s="73"/>
      <c r="CE400" s="73"/>
      <c r="CF400" s="73"/>
      <c r="CG400" s="73"/>
      <c r="CH400" s="73"/>
      <c r="CI400" s="73"/>
      <c r="CJ400" s="73"/>
      <c r="CK400" s="73"/>
      <c r="CL400" s="73"/>
      <c r="CM400" s="73"/>
      <c r="CN400" s="73"/>
      <c r="CO400" s="73"/>
      <c r="CP400" s="73"/>
      <c r="CQ400" s="73"/>
      <c r="CR400" s="73"/>
      <c r="CS400" s="73"/>
      <c r="CT400" s="73"/>
      <c r="CU400" s="73"/>
      <c r="CV400" s="73"/>
      <c r="CW400" s="73"/>
    </row>
    <row r="401" spans="1:101" s="73" customFormat="1" ht="13.5" customHeight="1">
      <c r="A401" s="67">
        <v>85</v>
      </c>
      <c r="B401" s="68" t="s">
        <v>340</v>
      </c>
      <c r="C401" s="69" t="s">
        <v>341</v>
      </c>
      <c r="D401" s="69" t="s">
        <v>342</v>
      </c>
      <c r="E401" s="69" t="s">
        <v>237</v>
      </c>
      <c r="F401" s="100">
        <v>1.2</v>
      </c>
      <c r="G401" s="71"/>
      <c r="H401" s="71">
        <f>F401*G401</f>
        <v>0</v>
      </c>
      <c r="I401" s="101" t="s">
        <v>39</v>
      </c>
      <c r="J401" s="332"/>
      <c r="K401" s="207"/>
      <c r="L401" s="207"/>
      <c r="M401" s="207"/>
      <c r="N401" s="207"/>
      <c r="O401" s="207"/>
      <c r="P401" s="207"/>
      <c r="Q401" s="207"/>
      <c r="R401" s="207"/>
      <c r="S401" s="207"/>
      <c r="T401" s="207"/>
      <c r="U401" s="207"/>
      <c r="V401" s="207"/>
      <c r="W401" s="207"/>
      <c r="X401" s="207"/>
      <c r="Y401" s="207"/>
      <c r="Z401" s="207"/>
      <c r="AA401" s="207"/>
      <c r="AB401" s="207"/>
      <c r="AC401" s="207"/>
      <c r="AD401" s="207"/>
      <c r="AE401" s="207"/>
      <c r="AF401" s="207"/>
      <c r="AG401" s="207"/>
      <c r="AH401" s="207"/>
      <c r="AI401" s="207"/>
      <c r="AJ401" s="207"/>
      <c r="AK401" s="207"/>
      <c r="AL401" s="207"/>
      <c r="AM401" s="207"/>
      <c r="AN401" s="207"/>
      <c r="AO401" s="207"/>
      <c r="AP401" s="207"/>
      <c r="AQ401" s="207"/>
      <c r="AR401" s="207"/>
    </row>
    <row r="402" spans="1:101" s="73" customFormat="1" ht="13.5" customHeight="1">
      <c r="A402" s="67">
        <v>86</v>
      </c>
      <c r="B402" s="69" t="s">
        <v>50</v>
      </c>
      <c r="C402" s="69" t="s">
        <v>55</v>
      </c>
      <c r="D402" s="69" t="s">
        <v>56</v>
      </c>
      <c r="E402" s="69" t="s">
        <v>53</v>
      </c>
      <c r="F402" s="100">
        <f>F403</f>
        <v>1</v>
      </c>
      <c r="G402" s="71"/>
      <c r="H402" s="71">
        <f>F402*G402</f>
        <v>0</v>
      </c>
      <c r="I402" s="101" t="s">
        <v>31</v>
      </c>
      <c r="J402" s="208"/>
      <c r="K402" s="207"/>
      <c r="L402" s="207"/>
      <c r="M402" s="207"/>
      <c r="N402" s="207"/>
      <c r="O402" s="207"/>
      <c r="P402" s="207"/>
      <c r="Q402" s="207"/>
      <c r="R402" s="207"/>
      <c r="S402" s="207"/>
      <c r="T402" s="207"/>
      <c r="U402" s="207"/>
      <c r="V402" s="207"/>
      <c r="W402" s="207"/>
      <c r="X402" s="207"/>
      <c r="Y402" s="207"/>
      <c r="Z402" s="207"/>
      <c r="AA402" s="207"/>
      <c r="AB402" s="207"/>
      <c r="AC402" s="207"/>
      <c r="AD402" s="207"/>
      <c r="AE402" s="207"/>
      <c r="AF402" s="207"/>
      <c r="AG402" s="207"/>
      <c r="AH402" s="207"/>
      <c r="AI402" s="207"/>
      <c r="AJ402" s="207"/>
      <c r="AK402" s="207"/>
      <c r="AL402" s="207"/>
      <c r="AM402" s="207"/>
      <c r="AN402" s="207"/>
      <c r="AO402" s="207"/>
      <c r="AP402" s="207"/>
      <c r="AQ402" s="207"/>
      <c r="AR402" s="207"/>
    </row>
    <row r="403" spans="1:101" s="73" customFormat="1" ht="13.5" customHeight="1">
      <c r="A403" s="112"/>
      <c r="B403" s="114"/>
      <c r="C403" s="114"/>
      <c r="D403" s="76" t="s">
        <v>343</v>
      </c>
      <c r="E403" s="114"/>
      <c r="F403" s="275">
        <v>1</v>
      </c>
      <c r="G403" s="144"/>
      <c r="H403" s="71"/>
      <c r="I403" s="110"/>
      <c r="J403" s="208"/>
      <c r="K403" s="207"/>
      <c r="L403" s="207"/>
      <c r="M403" s="207"/>
      <c r="N403" s="207"/>
      <c r="O403" s="207"/>
      <c r="P403" s="207"/>
      <c r="Q403" s="207"/>
      <c r="R403" s="207"/>
      <c r="S403" s="207"/>
      <c r="T403" s="207"/>
      <c r="U403" s="207"/>
      <c r="V403" s="207"/>
      <c r="W403" s="207"/>
      <c r="X403" s="207"/>
      <c r="Y403" s="207"/>
      <c r="Z403" s="207"/>
      <c r="AA403" s="207"/>
      <c r="AB403" s="207"/>
      <c r="AC403" s="207"/>
      <c r="AD403" s="207"/>
      <c r="AE403" s="207"/>
      <c r="AF403" s="207"/>
      <c r="AG403" s="207"/>
      <c r="AH403" s="207"/>
      <c r="AI403" s="207"/>
      <c r="AJ403" s="207"/>
      <c r="AK403" s="207"/>
      <c r="AL403" s="207"/>
      <c r="AM403" s="207"/>
      <c r="AN403" s="207"/>
      <c r="AO403" s="207"/>
      <c r="AP403" s="207"/>
      <c r="AQ403" s="207"/>
      <c r="AR403" s="207"/>
    </row>
    <row r="404" spans="1:101" s="73" customFormat="1" ht="13.5" customHeight="1">
      <c r="A404" s="112"/>
      <c r="B404" s="114"/>
      <c r="C404" s="114"/>
      <c r="D404" s="76" t="s">
        <v>241</v>
      </c>
      <c r="E404" s="114"/>
      <c r="F404" s="77"/>
      <c r="G404" s="144"/>
      <c r="H404" s="71"/>
      <c r="I404" s="110"/>
      <c r="J404" s="208"/>
      <c r="K404" s="207"/>
      <c r="L404" s="207"/>
      <c r="M404" s="207"/>
      <c r="N404" s="207"/>
      <c r="O404" s="207"/>
      <c r="P404" s="207"/>
      <c r="Q404" s="207"/>
      <c r="R404" s="207"/>
      <c r="S404" s="207"/>
      <c r="T404" s="207"/>
      <c r="U404" s="207"/>
      <c r="V404" s="207"/>
      <c r="W404" s="207"/>
      <c r="X404" s="207"/>
      <c r="Y404" s="207"/>
      <c r="Z404" s="207"/>
      <c r="AA404" s="207"/>
      <c r="AB404" s="207"/>
      <c r="AC404" s="207"/>
      <c r="AD404" s="207"/>
      <c r="AE404" s="207"/>
      <c r="AF404" s="207"/>
      <c r="AG404" s="207"/>
      <c r="AH404" s="207"/>
      <c r="AI404" s="207"/>
      <c r="AJ404" s="207"/>
      <c r="AK404" s="207"/>
      <c r="AL404" s="207"/>
      <c r="AM404" s="207"/>
      <c r="AN404" s="207"/>
      <c r="AO404" s="207"/>
      <c r="AP404" s="207"/>
      <c r="AQ404" s="207"/>
      <c r="AR404" s="207"/>
    </row>
    <row r="405" spans="1:101" s="48" customFormat="1" ht="21" customHeight="1">
      <c r="A405" s="166"/>
      <c r="B405" s="167"/>
      <c r="C405" s="167"/>
      <c r="D405" s="167" t="s">
        <v>58</v>
      </c>
      <c r="E405" s="167"/>
      <c r="F405" s="168"/>
      <c r="G405" s="169"/>
      <c r="H405" s="170">
        <f>H175+H9</f>
        <v>0</v>
      </c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F405" s="41"/>
      <c r="AG405" s="41"/>
      <c r="AH405" s="41"/>
      <c r="AI405" s="41"/>
      <c r="AJ405" s="41"/>
      <c r="AK405" s="41"/>
      <c r="AL405" s="41"/>
      <c r="AM405" s="41"/>
      <c r="AN405" s="41"/>
      <c r="AO405" s="41"/>
      <c r="AP405" s="41"/>
      <c r="AQ405" s="41"/>
      <c r="AR405" s="41"/>
      <c r="AS405" s="41"/>
      <c r="AT405" s="41"/>
      <c r="AU405" s="41"/>
      <c r="AV405" s="41"/>
      <c r="AW405" s="41"/>
      <c r="AX405" s="41"/>
      <c r="AY405" s="41"/>
      <c r="AZ405" s="41"/>
      <c r="BA405" s="41"/>
      <c r="BB405" s="41"/>
      <c r="BC405" s="41"/>
      <c r="BD405" s="41"/>
      <c r="BE405" s="41"/>
      <c r="BF405" s="41"/>
      <c r="BG405" s="41"/>
      <c r="BH405" s="41"/>
      <c r="BI405" s="41"/>
      <c r="BJ405" s="41"/>
      <c r="BK405" s="41"/>
      <c r="BL405" s="41"/>
      <c r="BM405" s="41"/>
      <c r="BN405" s="41"/>
      <c r="BO405" s="41"/>
      <c r="BP405" s="41"/>
      <c r="BQ405" s="41"/>
      <c r="BR405" s="41"/>
      <c r="BS405" s="41"/>
      <c r="BT405" s="41"/>
      <c r="BU405" s="41"/>
      <c r="BV405" s="41"/>
      <c r="BW405" s="41"/>
      <c r="BX405" s="41"/>
      <c r="BY405" s="41"/>
      <c r="BZ405" s="41"/>
      <c r="CA405" s="41"/>
      <c r="CB405" s="41"/>
      <c r="CC405" s="41"/>
      <c r="CD405" s="41"/>
      <c r="CE405" s="41"/>
      <c r="CF405" s="41"/>
      <c r="CG405" s="41"/>
      <c r="CH405" s="41"/>
      <c r="CI405" s="41"/>
      <c r="CJ405" s="41"/>
      <c r="CK405" s="41"/>
      <c r="CL405" s="41"/>
      <c r="CM405" s="41"/>
      <c r="CN405" s="41"/>
      <c r="CO405" s="41"/>
      <c r="CP405" s="41"/>
      <c r="CQ405" s="41"/>
      <c r="CR405" s="41"/>
      <c r="CS405" s="41"/>
      <c r="CT405" s="41"/>
      <c r="CU405" s="41"/>
      <c r="CV405" s="41"/>
      <c r="CW405" s="41"/>
    </row>
    <row r="406" spans="1:101" s="176" customFormat="1" ht="12" customHeight="1">
      <c r="A406" s="171"/>
      <c r="B406" s="172"/>
      <c r="C406" s="172"/>
      <c r="D406" s="172"/>
      <c r="E406" s="172"/>
      <c r="F406" s="173"/>
      <c r="G406" s="174"/>
      <c r="H406" s="175"/>
      <c r="J406" s="177"/>
      <c r="K406" s="177"/>
      <c r="L406" s="177"/>
      <c r="M406" s="177"/>
      <c r="N406" s="177"/>
      <c r="O406" s="177"/>
      <c r="P406" s="177"/>
      <c r="Q406" s="177"/>
      <c r="R406" s="177"/>
      <c r="S406" s="177"/>
      <c r="T406" s="177"/>
      <c r="U406" s="177"/>
      <c r="V406" s="177"/>
      <c r="W406" s="177"/>
      <c r="X406" s="177"/>
      <c r="Y406" s="177"/>
      <c r="Z406" s="177"/>
      <c r="AA406" s="177"/>
      <c r="AB406" s="177"/>
      <c r="AC406" s="177"/>
      <c r="AD406" s="177"/>
      <c r="AE406" s="177"/>
      <c r="AF406" s="177"/>
      <c r="AG406" s="177"/>
      <c r="AH406" s="177"/>
      <c r="AI406" s="177"/>
      <c r="AJ406" s="177"/>
      <c r="AK406" s="177"/>
      <c r="AL406" s="177"/>
      <c r="AM406" s="177"/>
      <c r="AN406" s="177"/>
      <c r="AO406" s="177"/>
      <c r="AP406" s="177"/>
      <c r="AQ406" s="177"/>
      <c r="AR406" s="177"/>
      <c r="AS406" s="177"/>
      <c r="AT406" s="177"/>
      <c r="AU406" s="177"/>
      <c r="AV406" s="177"/>
      <c r="AW406" s="177"/>
      <c r="AX406" s="177"/>
      <c r="AY406" s="177"/>
      <c r="AZ406" s="177"/>
      <c r="BA406" s="177"/>
      <c r="BB406" s="177"/>
      <c r="BC406" s="177"/>
      <c r="BD406" s="177"/>
      <c r="BE406" s="177"/>
      <c r="BF406" s="177"/>
      <c r="BG406" s="177"/>
      <c r="BH406" s="177"/>
      <c r="BI406" s="177"/>
      <c r="BJ406" s="177"/>
      <c r="BK406" s="177"/>
      <c r="BL406" s="177"/>
      <c r="BM406" s="177"/>
      <c r="BN406" s="177"/>
      <c r="BO406" s="177"/>
      <c r="BP406" s="177"/>
      <c r="BQ406" s="177"/>
      <c r="BR406" s="177"/>
      <c r="BS406" s="177"/>
      <c r="BT406" s="177"/>
      <c r="BU406" s="177"/>
      <c r="BV406" s="177"/>
      <c r="BW406" s="177"/>
      <c r="BX406" s="177"/>
      <c r="BY406" s="177"/>
      <c r="BZ406" s="177"/>
      <c r="CA406" s="177"/>
      <c r="CB406" s="177"/>
      <c r="CC406" s="177"/>
      <c r="CD406" s="177"/>
      <c r="CE406" s="177"/>
      <c r="CF406" s="177"/>
      <c r="CG406" s="177"/>
      <c r="CH406" s="177"/>
      <c r="CI406" s="177"/>
      <c r="CJ406" s="177"/>
      <c r="CK406" s="177"/>
      <c r="CL406" s="177"/>
      <c r="CM406" s="177"/>
      <c r="CN406" s="177"/>
      <c r="CO406" s="177"/>
      <c r="CP406" s="177"/>
      <c r="CQ406" s="177"/>
      <c r="CR406" s="177"/>
      <c r="CS406" s="177"/>
      <c r="CT406" s="177"/>
      <c r="CU406" s="177"/>
      <c r="CV406" s="177"/>
      <c r="CW406" s="177"/>
    </row>
    <row r="407" spans="1:101" s="48" customFormat="1" ht="13.5" customHeight="1">
      <c r="A407" s="417" t="s">
        <v>59</v>
      </c>
      <c r="B407" s="418"/>
      <c r="C407" s="419"/>
      <c r="D407" s="178" t="s">
        <v>344</v>
      </c>
      <c r="E407" s="179"/>
      <c r="F407" s="180"/>
      <c r="G407" s="181"/>
      <c r="H407" s="182">
        <f>H405</f>
        <v>0</v>
      </c>
      <c r="I407" s="183"/>
      <c r="J407" s="184"/>
      <c r="K407" s="185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F407" s="41"/>
      <c r="AG407" s="41"/>
      <c r="AH407" s="41"/>
      <c r="AI407" s="41"/>
      <c r="AJ407" s="41"/>
      <c r="AK407" s="41"/>
      <c r="AL407" s="41"/>
      <c r="AM407" s="41"/>
      <c r="AN407" s="41"/>
      <c r="AO407" s="41"/>
      <c r="AP407" s="41"/>
      <c r="AQ407" s="41"/>
      <c r="AR407" s="41"/>
      <c r="AS407" s="41"/>
      <c r="AT407" s="41"/>
      <c r="AU407" s="41"/>
      <c r="AV407" s="41"/>
      <c r="AW407" s="41"/>
      <c r="AX407" s="41"/>
      <c r="AY407" s="41"/>
      <c r="AZ407" s="41"/>
      <c r="BA407" s="41"/>
      <c r="BB407" s="41"/>
      <c r="BC407" s="41"/>
      <c r="BD407" s="41"/>
      <c r="BE407" s="41"/>
      <c r="BF407" s="41"/>
      <c r="BG407" s="41"/>
      <c r="BH407" s="41"/>
      <c r="BI407" s="41"/>
      <c r="BJ407" s="41"/>
      <c r="BK407" s="41"/>
      <c r="BL407" s="41"/>
      <c r="BM407" s="41"/>
      <c r="BN407" s="41"/>
      <c r="BO407" s="41"/>
      <c r="BP407" s="41"/>
      <c r="BQ407" s="41"/>
      <c r="BR407" s="41"/>
      <c r="BS407" s="41"/>
      <c r="BT407" s="41"/>
      <c r="BU407" s="41"/>
      <c r="BV407" s="41"/>
      <c r="BW407" s="41"/>
      <c r="BX407" s="41"/>
      <c r="BY407" s="41"/>
      <c r="BZ407" s="41"/>
      <c r="CA407" s="41"/>
      <c r="CB407" s="41"/>
      <c r="CC407" s="41"/>
      <c r="CD407" s="41"/>
      <c r="CE407" s="41"/>
      <c r="CF407" s="41"/>
      <c r="CG407" s="41"/>
      <c r="CH407" s="41"/>
      <c r="CI407" s="41"/>
      <c r="CJ407" s="41"/>
      <c r="CK407" s="41"/>
      <c r="CL407" s="41"/>
      <c r="CM407" s="41"/>
      <c r="CN407" s="41"/>
      <c r="CO407" s="41"/>
      <c r="CP407" s="41"/>
      <c r="CQ407" s="41"/>
      <c r="CR407" s="41"/>
      <c r="CS407" s="41"/>
      <c r="CT407" s="41"/>
      <c r="CU407" s="41"/>
      <c r="CV407" s="41"/>
      <c r="CW407" s="41"/>
    </row>
    <row r="408" spans="1:101" s="48" customFormat="1" ht="13.5" customHeight="1">
      <c r="A408" s="186"/>
      <c r="B408" s="187"/>
      <c r="C408" s="187"/>
      <c r="D408" s="188"/>
      <c r="E408" s="189"/>
      <c r="F408" s="190"/>
      <c r="G408" s="191"/>
      <c r="H408" s="192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F408" s="41"/>
      <c r="AG408" s="41"/>
      <c r="AH408" s="41"/>
      <c r="AI408" s="41"/>
      <c r="AJ408" s="41"/>
      <c r="AK408" s="41"/>
      <c r="AL408" s="41"/>
      <c r="AM408" s="41"/>
      <c r="AN408" s="41"/>
      <c r="AO408" s="41"/>
      <c r="AP408" s="41"/>
      <c r="AQ408" s="41"/>
      <c r="AR408" s="41"/>
      <c r="AS408" s="41"/>
      <c r="AT408" s="41"/>
      <c r="AU408" s="41"/>
      <c r="AV408" s="41"/>
      <c r="AW408" s="41"/>
      <c r="AX408" s="41"/>
      <c r="AY408" s="41"/>
      <c r="AZ408" s="41"/>
      <c r="BA408" s="41"/>
      <c r="BB408" s="41"/>
      <c r="BC408" s="41"/>
      <c r="BD408" s="41"/>
      <c r="BE408" s="41"/>
      <c r="BF408" s="41"/>
      <c r="BG408" s="41"/>
      <c r="BH408" s="41"/>
      <c r="BI408" s="41"/>
      <c r="BJ408" s="41"/>
      <c r="BK408" s="41"/>
      <c r="BL408" s="41"/>
      <c r="BM408" s="41"/>
      <c r="BN408" s="41"/>
      <c r="BO408" s="41"/>
      <c r="BP408" s="41"/>
      <c r="BQ408" s="41"/>
      <c r="BR408" s="41"/>
      <c r="BS408" s="41"/>
      <c r="BT408" s="41"/>
      <c r="BU408" s="41"/>
      <c r="BV408" s="41"/>
      <c r="BW408" s="41"/>
      <c r="BX408" s="41"/>
      <c r="BY408" s="41"/>
      <c r="BZ408" s="41"/>
      <c r="CA408" s="41"/>
      <c r="CB408" s="41"/>
      <c r="CC408" s="41"/>
      <c r="CD408" s="41"/>
      <c r="CE408" s="41"/>
      <c r="CF408" s="41"/>
      <c r="CG408" s="41"/>
      <c r="CH408" s="41"/>
      <c r="CI408" s="41"/>
      <c r="CJ408" s="41"/>
      <c r="CK408" s="41"/>
      <c r="CL408" s="41"/>
      <c r="CM408" s="41"/>
      <c r="CN408" s="41"/>
      <c r="CO408" s="41"/>
      <c r="CP408" s="41"/>
      <c r="CQ408" s="41"/>
      <c r="CR408" s="41"/>
      <c r="CS408" s="41"/>
      <c r="CT408" s="41"/>
      <c r="CU408" s="41"/>
      <c r="CV408" s="41"/>
      <c r="CW408" s="41"/>
    </row>
    <row r="409" spans="1:101" s="193" customFormat="1" ht="11.25">
      <c r="A409" s="193" t="s">
        <v>60</v>
      </c>
      <c r="G409" s="194"/>
      <c r="I409" s="194"/>
      <c r="J409" s="194"/>
      <c r="K409" s="194"/>
      <c r="L409" s="194"/>
      <c r="M409" s="194"/>
      <c r="N409" s="194"/>
      <c r="O409" s="194"/>
      <c r="P409" s="194"/>
      <c r="Q409" s="194"/>
      <c r="R409" s="194"/>
      <c r="S409" s="194"/>
      <c r="T409" s="194"/>
      <c r="U409" s="194"/>
      <c r="V409" s="194"/>
      <c r="W409" s="194"/>
      <c r="X409" s="194"/>
      <c r="Y409" s="194"/>
      <c r="Z409" s="194"/>
      <c r="AA409" s="194"/>
      <c r="AB409" s="194"/>
      <c r="AC409" s="194"/>
      <c r="AD409" s="194"/>
      <c r="AE409" s="194"/>
      <c r="AF409" s="194"/>
      <c r="AG409" s="194"/>
      <c r="AH409" s="194"/>
      <c r="AI409" s="194"/>
      <c r="AJ409" s="194"/>
      <c r="AK409" s="194"/>
      <c r="AL409" s="194"/>
      <c r="AM409" s="194"/>
      <c r="AN409" s="194"/>
      <c r="AO409" s="194"/>
      <c r="AP409" s="194"/>
      <c r="AQ409" s="194"/>
      <c r="AR409" s="194"/>
      <c r="AS409" s="194"/>
      <c r="AT409" s="194"/>
      <c r="AU409" s="194"/>
      <c r="AV409" s="194"/>
      <c r="AW409" s="194"/>
      <c r="AX409" s="194"/>
      <c r="AY409" s="194"/>
      <c r="AZ409" s="194"/>
      <c r="BA409" s="194"/>
      <c r="BB409" s="194"/>
      <c r="BC409" s="194"/>
      <c r="BD409" s="194"/>
      <c r="BE409" s="194"/>
      <c r="BF409" s="194"/>
      <c r="BG409" s="194"/>
      <c r="BH409" s="194"/>
      <c r="BI409" s="194"/>
      <c r="BJ409" s="194"/>
      <c r="BK409" s="194"/>
      <c r="BL409" s="194"/>
      <c r="BM409" s="194"/>
      <c r="BN409" s="194"/>
      <c r="BO409" s="194"/>
      <c r="BP409" s="194"/>
      <c r="BQ409" s="194"/>
      <c r="BR409" s="194"/>
      <c r="BS409" s="194"/>
      <c r="BT409" s="194"/>
      <c r="BU409" s="194"/>
      <c r="BV409" s="194"/>
      <c r="BW409" s="194"/>
      <c r="BX409" s="194"/>
      <c r="BY409" s="194"/>
      <c r="BZ409" s="194"/>
      <c r="CA409" s="194"/>
      <c r="CB409" s="194"/>
      <c r="CC409" s="194"/>
      <c r="CD409" s="194"/>
      <c r="CE409" s="194"/>
      <c r="CF409" s="194"/>
      <c r="CG409" s="194"/>
      <c r="CH409" s="194"/>
      <c r="CI409" s="194"/>
      <c r="CJ409" s="194"/>
      <c r="CK409" s="194"/>
      <c r="CL409" s="194"/>
      <c r="CM409" s="194"/>
      <c r="CN409" s="194"/>
      <c r="CO409" s="194"/>
      <c r="CP409" s="194"/>
      <c r="CQ409" s="194"/>
      <c r="CR409" s="194"/>
      <c r="CS409" s="194"/>
      <c r="CT409" s="194"/>
      <c r="CU409" s="194"/>
      <c r="CV409" s="194"/>
      <c r="CW409" s="194"/>
    </row>
    <row r="410" spans="1:101" s="48" customFormat="1" ht="31.5" customHeight="1">
      <c r="A410" s="415" t="s">
        <v>61</v>
      </c>
      <c r="B410" s="420"/>
      <c r="C410" s="420"/>
      <c r="D410" s="420"/>
      <c r="E410" s="420"/>
      <c r="F410" s="420"/>
      <c r="G410" s="420"/>
      <c r="H410" s="194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F410" s="41"/>
      <c r="AG410" s="41"/>
      <c r="AH410" s="41"/>
      <c r="AI410" s="41"/>
      <c r="AJ410" s="41"/>
      <c r="AK410" s="41"/>
      <c r="AL410" s="41"/>
      <c r="AM410" s="41"/>
      <c r="AN410" s="41"/>
      <c r="AO410" s="41"/>
      <c r="AP410" s="41"/>
      <c r="AQ410" s="41"/>
      <c r="AR410" s="41"/>
      <c r="AS410" s="41"/>
      <c r="AT410" s="41"/>
      <c r="AU410" s="41"/>
      <c r="AV410" s="41"/>
      <c r="AW410" s="41"/>
      <c r="AX410" s="41"/>
      <c r="AY410" s="41"/>
      <c r="AZ410" s="41"/>
      <c r="BA410" s="41"/>
      <c r="BB410" s="41"/>
      <c r="BC410" s="41"/>
      <c r="BD410" s="41"/>
      <c r="BE410" s="41"/>
      <c r="BF410" s="41"/>
      <c r="BG410" s="41"/>
      <c r="BH410" s="41"/>
      <c r="BI410" s="41"/>
      <c r="BJ410" s="41"/>
      <c r="BK410" s="41"/>
      <c r="BL410" s="41"/>
      <c r="BM410" s="41"/>
      <c r="BN410" s="41"/>
      <c r="BO410" s="41"/>
      <c r="BP410" s="41"/>
      <c r="BQ410" s="41"/>
      <c r="BR410" s="41"/>
      <c r="BS410" s="41"/>
      <c r="BT410" s="41"/>
      <c r="BU410" s="41"/>
      <c r="BV410" s="41"/>
      <c r="BW410" s="41"/>
      <c r="BX410" s="41"/>
      <c r="BY410" s="41"/>
      <c r="BZ410" s="41"/>
      <c r="CA410" s="41"/>
      <c r="CB410" s="41"/>
      <c r="CC410" s="41"/>
      <c r="CD410" s="41"/>
      <c r="CE410" s="41"/>
      <c r="CF410" s="41"/>
      <c r="CG410" s="41"/>
      <c r="CH410" s="41"/>
      <c r="CI410" s="41"/>
      <c r="CJ410" s="41"/>
      <c r="CK410" s="41"/>
      <c r="CL410" s="41"/>
      <c r="CM410" s="41"/>
      <c r="CN410" s="41"/>
      <c r="CO410" s="41"/>
      <c r="CP410" s="41"/>
      <c r="CQ410" s="41"/>
      <c r="CR410" s="41"/>
      <c r="CS410" s="41"/>
      <c r="CT410" s="41"/>
      <c r="CU410" s="41"/>
      <c r="CV410" s="41"/>
      <c r="CW410" s="41"/>
    </row>
    <row r="411" spans="1:101" s="193" customFormat="1" ht="102.75" customHeight="1">
      <c r="A411" s="415" t="s">
        <v>62</v>
      </c>
      <c r="B411" s="421"/>
      <c r="C411" s="421"/>
      <c r="D411" s="421"/>
      <c r="E411" s="421"/>
      <c r="F411" s="421"/>
      <c r="G411" s="421"/>
      <c r="J411" s="194"/>
      <c r="K411" s="194"/>
      <c r="L411" s="194"/>
      <c r="M411" s="194"/>
      <c r="N411" s="194"/>
      <c r="O411" s="194"/>
      <c r="P411" s="194"/>
      <c r="Q411" s="194"/>
      <c r="R411" s="194"/>
      <c r="S411" s="194"/>
      <c r="T411" s="194"/>
      <c r="U411" s="194"/>
      <c r="V411" s="194"/>
      <c r="W411" s="194"/>
      <c r="X411" s="194"/>
      <c r="Y411" s="194"/>
      <c r="Z411" s="194"/>
      <c r="AA411" s="194"/>
      <c r="AB411" s="194"/>
      <c r="AC411" s="194"/>
      <c r="AD411" s="194"/>
      <c r="AE411" s="194"/>
      <c r="AF411" s="194"/>
      <c r="AG411" s="194"/>
      <c r="AH411" s="194"/>
      <c r="AI411" s="194"/>
      <c r="AJ411" s="194"/>
      <c r="AK411" s="194"/>
      <c r="AL411" s="194"/>
      <c r="AM411" s="194"/>
      <c r="AN411" s="194"/>
      <c r="AO411" s="194"/>
      <c r="AP411" s="194"/>
      <c r="AQ411" s="194"/>
      <c r="AR411" s="194"/>
      <c r="AS411" s="194"/>
      <c r="AT411" s="194"/>
      <c r="AU411" s="194"/>
      <c r="AV411" s="194"/>
      <c r="AW411" s="194"/>
      <c r="AX411" s="194"/>
      <c r="AY411" s="194"/>
      <c r="AZ411" s="194"/>
      <c r="BA411" s="194"/>
      <c r="BB411" s="194"/>
      <c r="BC411" s="194"/>
      <c r="BD411" s="194"/>
      <c r="BE411" s="194"/>
      <c r="BF411" s="194"/>
      <c r="BG411" s="194"/>
      <c r="BH411" s="194"/>
      <c r="BI411" s="194"/>
      <c r="BJ411" s="194"/>
      <c r="BK411" s="194"/>
      <c r="BL411" s="194"/>
      <c r="BM411" s="194"/>
      <c r="BN411" s="194"/>
      <c r="BO411" s="194"/>
      <c r="BP411" s="194"/>
      <c r="BQ411" s="194"/>
      <c r="BR411" s="194"/>
      <c r="BS411" s="194"/>
      <c r="BT411" s="194"/>
      <c r="BU411" s="194"/>
      <c r="BV411" s="194"/>
      <c r="BW411" s="194"/>
      <c r="BX411" s="194"/>
      <c r="BY411" s="194"/>
      <c r="BZ411" s="194"/>
      <c r="CA411" s="194"/>
      <c r="CB411" s="194"/>
      <c r="CC411" s="194"/>
      <c r="CD411" s="194"/>
      <c r="CE411" s="194"/>
      <c r="CF411" s="194"/>
      <c r="CG411" s="194"/>
      <c r="CH411" s="194"/>
      <c r="CI411" s="194"/>
      <c r="CJ411" s="194"/>
      <c r="CK411" s="194"/>
      <c r="CL411" s="194"/>
      <c r="CM411" s="194"/>
      <c r="CN411" s="194"/>
      <c r="CO411" s="194"/>
      <c r="CP411" s="194"/>
      <c r="CQ411" s="194"/>
      <c r="CR411" s="194"/>
      <c r="CS411" s="194"/>
      <c r="CT411" s="194"/>
      <c r="CU411" s="194"/>
      <c r="CV411" s="194"/>
      <c r="CW411" s="194"/>
    </row>
    <row r="412" spans="1:101" s="197" customFormat="1" ht="13.5" customHeight="1">
      <c r="A412" s="415" t="s">
        <v>63</v>
      </c>
      <c r="B412" s="416"/>
      <c r="C412" s="416"/>
      <c r="D412" s="416"/>
      <c r="E412" s="416"/>
      <c r="F412" s="416"/>
      <c r="G412" s="416"/>
      <c r="H412" s="195"/>
      <c r="I412" s="196"/>
      <c r="J412" s="91"/>
      <c r="K412" s="91"/>
      <c r="L412" s="91"/>
      <c r="M412" s="91"/>
      <c r="N412" s="91"/>
      <c r="O412" s="91"/>
      <c r="P412" s="91"/>
      <c r="Q412" s="91"/>
      <c r="R412" s="91"/>
      <c r="S412" s="91"/>
      <c r="T412" s="91"/>
      <c r="U412" s="91"/>
      <c r="V412" s="91"/>
      <c r="W412" s="91"/>
      <c r="X412" s="91"/>
      <c r="Y412" s="91"/>
      <c r="Z412" s="91"/>
      <c r="AA412" s="91"/>
      <c r="AB412" s="91"/>
      <c r="AC412" s="91"/>
      <c r="AD412" s="91"/>
      <c r="AE412" s="91"/>
      <c r="AF412" s="91"/>
      <c r="AG412" s="91"/>
      <c r="AH412" s="91"/>
      <c r="AI412" s="91"/>
      <c r="AJ412" s="91"/>
      <c r="AK412" s="91"/>
      <c r="AL412" s="91"/>
      <c r="AM412" s="91"/>
      <c r="AN412" s="91"/>
      <c r="AO412" s="91"/>
      <c r="AP412" s="91"/>
      <c r="AQ412" s="91"/>
      <c r="AR412" s="91"/>
      <c r="AS412" s="91"/>
      <c r="AT412" s="91"/>
      <c r="AU412" s="91"/>
      <c r="AV412" s="91"/>
      <c r="AW412" s="91"/>
      <c r="AX412" s="91"/>
      <c r="AY412" s="91"/>
      <c r="AZ412" s="91"/>
      <c r="BA412" s="91"/>
      <c r="BB412" s="91"/>
      <c r="BC412" s="91"/>
      <c r="BD412" s="91"/>
      <c r="BE412" s="91"/>
      <c r="BF412" s="91"/>
      <c r="BG412" s="91"/>
      <c r="BH412" s="91"/>
      <c r="BI412" s="91"/>
      <c r="BJ412" s="91"/>
      <c r="BK412" s="91"/>
      <c r="BL412" s="91"/>
      <c r="BM412" s="91"/>
      <c r="BN412" s="91"/>
      <c r="BO412" s="91"/>
      <c r="BP412" s="91"/>
      <c r="BQ412" s="91"/>
      <c r="BR412" s="91"/>
      <c r="BS412" s="91"/>
      <c r="BT412" s="91"/>
      <c r="BU412" s="91"/>
      <c r="BV412" s="91"/>
      <c r="BW412" s="91"/>
      <c r="BX412" s="91"/>
      <c r="BY412" s="91"/>
      <c r="BZ412" s="91"/>
      <c r="CA412" s="91"/>
      <c r="CB412" s="91"/>
      <c r="CC412" s="91"/>
      <c r="CD412" s="91"/>
      <c r="CE412" s="91"/>
      <c r="CF412" s="91"/>
      <c r="CG412" s="91"/>
      <c r="CH412" s="91"/>
      <c r="CI412" s="91"/>
      <c r="CJ412" s="91"/>
      <c r="CK412" s="91"/>
      <c r="CL412" s="91"/>
      <c r="CM412" s="91"/>
      <c r="CN412" s="91"/>
      <c r="CO412" s="91"/>
      <c r="CP412" s="91"/>
      <c r="CQ412" s="91"/>
      <c r="CR412" s="91"/>
      <c r="CS412" s="91"/>
      <c r="CT412" s="91"/>
      <c r="CU412" s="91"/>
      <c r="CV412" s="91"/>
      <c r="CW412" s="91"/>
    </row>
    <row r="413" spans="1:101" s="197" customFormat="1" ht="13.5" customHeight="1">
      <c r="A413" s="415" t="s">
        <v>64</v>
      </c>
      <c r="B413" s="416"/>
      <c r="C413" s="416"/>
      <c r="D413" s="416"/>
      <c r="E413" s="416"/>
      <c r="F413" s="416"/>
      <c r="G413" s="416"/>
      <c r="H413" s="195"/>
      <c r="I413" s="196"/>
      <c r="J413" s="91"/>
      <c r="K413" s="198"/>
      <c r="L413" s="91"/>
      <c r="M413" s="91"/>
      <c r="N413" s="91"/>
      <c r="O413" s="91"/>
      <c r="P413" s="91"/>
      <c r="Q413" s="91"/>
      <c r="R413" s="91"/>
      <c r="S413" s="91"/>
      <c r="T413" s="91"/>
      <c r="U413" s="91"/>
      <c r="V413" s="91"/>
      <c r="W413" s="91"/>
      <c r="X413" s="91"/>
      <c r="Y413" s="91"/>
      <c r="Z413" s="91"/>
      <c r="AA413" s="91"/>
      <c r="AB413" s="91"/>
      <c r="AC413" s="91"/>
      <c r="AD413" s="91"/>
      <c r="AE413" s="91"/>
      <c r="AF413" s="91"/>
      <c r="AG413" s="91"/>
      <c r="AH413" s="91"/>
      <c r="AI413" s="91"/>
      <c r="AJ413" s="91"/>
      <c r="AK413" s="91"/>
      <c r="AL413" s="91"/>
      <c r="AM413" s="91"/>
      <c r="AN413" s="91"/>
      <c r="AO413" s="91"/>
      <c r="AP413" s="91"/>
      <c r="AQ413" s="91"/>
      <c r="AR413" s="91"/>
      <c r="AS413" s="91"/>
      <c r="AT413" s="91"/>
      <c r="AU413" s="91"/>
      <c r="AV413" s="91"/>
      <c r="AW413" s="91"/>
      <c r="AX413" s="91"/>
      <c r="AY413" s="91"/>
      <c r="AZ413" s="91"/>
      <c r="BA413" s="91"/>
      <c r="BB413" s="91"/>
      <c r="BC413" s="91"/>
      <c r="BD413" s="91"/>
      <c r="BE413" s="91"/>
      <c r="BF413" s="91"/>
      <c r="BG413" s="91"/>
      <c r="BH413" s="91"/>
      <c r="BI413" s="91"/>
      <c r="BJ413" s="91"/>
      <c r="BK413" s="91"/>
      <c r="BL413" s="91"/>
      <c r="BM413" s="91"/>
      <c r="BN413" s="91"/>
      <c r="BO413" s="91"/>
      <c r="BP413" s="91"/>
      <c r="BQ413" s="91"/>
      <c r="BR413" s="91"/>
      <c r="BS413" s="91"/>
      <c r="BT413" s="91"/>
      <c r="BU413" s="91"/>
      <c r="BV413" s="91"/>
      <c r="BW413" s="91"/>
      <c r="BX413" s="91"/>
      <c r="BY413" s="91"/>
      <c r="BZ413" s="91"/>
      <c r="CA413" s="91"/>
      <c r="CB413" s="91"/>
      <c r="CC413" s="91"/>
      <c r="CD413" s="91"/>
      <c r="CE413" s="91"/>
      <c r="CF413" s="91"/>
      <c r="CG413" s="91"/>
      <c r="CH413" s="91"/>
      <c r="CI413" s="91"/>
      <c r="CJ413" s="91"/>
      <c r="CK413" s="91"/>
      <c r="CL413" s="91"/>
      <c r="CM413" s="91"/>
      <c r="CN413" s="91"/>
      <c r="CO413" s="91"/>
      <c r="CP413" s="91"/>
      <c r="CQ413" s="91"/>
      <c r="CR413" s="91"/>
      <c r="CS413" s="91"/>
      <c r="CT413" s="91"/>
      <c r="CU413" s="91"/>
      <c r="CV413" s="91"/>
      <c r="CW413" s="91"/>
    </row>
    <row r="414" spans="1:101" s="203" customFormat="1" ht="13.5" customHeight="1">
      <c r="A414" s="223"/>
      <c r="B414" s="199"/>
      <c r="C414" s="199"/>
      <c r="D414" s="199"/>
      <c r="E414" s="199"/>
      <c r="F414" s="199"/>
      <c r="G414" s="199"/>
      <c r="H414" s="200"/>
      <c r="I414" s="201"/>
      <c r="J414" s="202"/>
      <c r="K414" s="202"/>
      <c r="L414" s="202"/>
      <c r="M414" s="202"/>
      <c r="N414" s="202"/>
      <c r="O414" s="202"/>
      <c r="P414" s="202"/>
      <c r="Q414" s="202"/>
      <c r="R414" s="202"/>
      <c r="S414" s="202"/>
      <c r="T414" s="202"/>
      <c r="U414" s="202"/>
      <c r="V414" s="202"/>
      <c r="W414" s="202"/>
      <c r="X414" s="202"/>
      <c r="Y414" s="202"/>
      <c r="Z414" s="202"/>
      <c r="AA414" s="202"/>
      <c r="AB414" s="202"/>
      <c r="AC414" s="202"/>
      <c r="AD414" s="202"/>
      <c r="AE414" s="202"/>
      <c r="AF414" s="202"/>
      <c r="AG414" s="202"/>
      <c r="AH414" s="202"/>
      <c r="AI414" s="202"/>
      <c r="AJ414" s="202"/>
      <c r="AK414" s="202"/>
      <c r="AL414" s="202"/>
      <c r="AM414" s="202"/>
      <c r="AN414" s="202"/>
      <c r="AO414" s="202"/>
      <c r="AP414" s="202"/>
      <c r="AQ414" s="202"/>
      <c r="AR414" s="202"/>
      <c r="AS414" s="202"/>
      <c r="AT414" s="202"/>
      <c r="AU414" s="202"/>
      <c r="AV414" s="202"/>
      <c r="AW414" s="202"/>
      <c r="AX414" s="202"/>
      <c r="AY414" s="202"/>
      <c r="AZ414" s="202"/>
      <c r="BA414" s="202"/>
      <c r="BB414" s="202"/>
      <c r="BC414" s="202"/>
      <c r="BD414" s="202"/>
      <c r="BE414" s="202"/>
      <c r="BF414" s="202"/>
      <c r="BG414" s="202"/>
      <c r="BH414" s="202"/>
      <c r="BI414" s="202"/>
      <c r="BJ414" s="202"/>
      <c r="BK414" s="202"/>
      <c r="BL414" s="202"/>
      <c r="BM414" s="202"/>
      <c r="BN414" s="202"/>
      <c r="BO414" s="202"/>
      <c r="BP414" s="202"/>
      <c r="BQ414" s="202"/>
      <c r="BR414" s="202"/>
      <c r="BS414" s="202"/>
      <c r="BT414" s="202"/>
      <c r="BU414" s="202"/>
      <c r="BV414" s="202"/>
      <c r="BW414" s="202"/>
      <c r="BX414" s="202"/>
      <c r="BY414" s="202"/>
      <c r="BZ414" s="202"/>
      <c r="CA414" s="202"/>
      <c r="CB414" s="202"/>
      <c r="CC414" s="202"/>
      <c r="CD414" s="202"/>
      <c r="CE414" s="202"/>
      <c r="CF414" s="202"/>
      <c r="CG414" s="202"/>
      <c r="CH414" s="202"/>
      <c r="CI414" s="202"/>
      <c r="CJ414" s="202"/>
      <c r="CK414" s="202"/>
      <c r="CL414" s="202"/>
      <c r="CM414" s="202"/>
      <c r="CN414" s="202"/>
      <c r="CO414" s="202"/>
      <c r="CP414" s="202"/>
      <c r="CQ414" s="202"/>
      <c r="CR414" s="202"/>
      <c r="CS414" s="202"/>
      <c r="CT414" s="202"/>
      <c r="CU414" s="202"/>
      <c r="CV414" s="202"/>
      <c r="CW414" s="202"/>
    </row>
  </sheetData>
  <mergeCells count="7">
    <mergeCell ref="A413:G413"/>
    <mergeCell ref="A2:I2"/>
    <mergeCell ref="A3:D3"/>
    <mergeCell ref="A407:C407"/>
    <mergeCell ref="A410:G410"/>
    <mergeCell ref="A411:G411"/>
    <mergeCell ref="A412:G412"/>
  </mergeCells>
  <printOptions horizontalCentered="1"/>
  <pageMargins left="0.39370078740157483" right="0.39370078740157483" top="0.78740157480314965" bottom="0.39370078740157483" header="0" footer="0.22187499999999999"/>
  <pageSetup paperSize="9" scale="6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NOVÝ STAV</vt:lpstr>
      <vt:lpstr>'NOVÝ STAV'!Oblast_tisku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2021-01-25T13:06:12Z</cp:lastPrinted>
  <dcterms:created xsi:type="dcterms:W3CDTF">2020-12-16T07:15:18Z</dcterms:created>
  <dcterms:modified xsi:type="dcterms:W3CDTF">2021-01-25T13:06:19Z</dcterms:modified>
</cp:coreProperties>
</file>